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iteri di aggiudicazione" sheetId="1" r:id="rId4"/>
    <sheet state="visible" name="Tabella Req.Minimi" sheetId="2" r:id="rId5"/>
    <sheet state="visible" name="Offerta Tecnica-Det.Coeff.Qual." sheetId="3" r:id="rId6"/>
    <sheet state="visible" name="Offerta Tecnica-calcolo punt." sheetId="4" r:id="rId7"/>
    <sheet state="visible" name="Offerta Economica-calcolo punt." sheetId="5" r:id="rId8"/>
    <sheet state="visible" name="Tabella dei Punteggi" sheetId="6" r:id="rId9"/>
  </sheets>
  <definedNames/>
  <calcPr/>
  <extLst>
    <ext uri="GoogleSheetsCustomDataVersion2">
      <go:sheetsCustomData xmlns:go="http://customooxmlschemas.google.com/" r:id="rId10" roundtripDataChecksum="+6kOdJseDI/sLan5rjqc+Bfpn0C/h5QfICsPcrnlqhQ="/>
    </ext>
  </extLst>
</workbook>
</file>

<file path=xl/sharedStrings.xml><?xml version="1.0" encoding="utf-8"?>
<sst xmlns="http://schemas.openxmlformats.org/spreadsheetml/2006/main" count="681" uniqueCount="299">
  <si>
    <t>DESCRIZIONE</t>
  </si>
  <si>
    <t>PUNTEGGIO MASSIMO</t>
  </si>
  <si>
    <t>Offerta Tecnica</t>
  </si>
  <si>
    <t>Offerta Economica</t>
  </si>
  <si>
    <t>TOTALE</t>
  </si>
  <si>
    <t>ID Requisito</t>
  </si>
  <si>
    <t>Descrizione Requisito</t>
  </si>
  <si>
    <t>ID Sub-Requisito</t>
  </si>
  <si>
    <t>Descrizione Sub-Requisito</t>
  </si>
  <si>
    <t>Requisito Raggiunto
(SI/NO)</t>
  </si>
  <si>
    <t>GENERALI</t>
  </si>
  <si>
    <t>Per questa fornitura è richiesta agli operatori economici la produzione, contestualmente alla presentazione dell’offerta tecnica, di una relazione tecnica riportante la progettazione preliminare dell’infrastruttura di calcolo, sia in termini architetturali che di descrizione dei differenti elementi che la costituiscono, ossia nodi di calcolo, di management e di storage, dispositivi di rete. Detta relazione dovrà riportare anche la descrizione dei requisiti di natura elettrica, termica e dimensionali necessari alla predisposizione dei locali che costituirà il Datacenter. Inoltre, dovrà essere presente il piano dei servizi di preinstallazione e installazione e configurazione dell’infrastruttura di calcolo offerta ed il piano dei servizi di formazione e manutenzione.</t>
  </si>
  <si>
    <t>-</t>
  </si>
  <si>
    <t>CLUSTER SERVER-GPU</t>
  </si>
  <si>
    <t>Architettura</t>
  </si>
  <si>
    <t>Il Cluster Server-GPU dovrà essere costituito da almeno nr. 8 nodi, tutti della medesima configurazione.</t>
  </si>
  <si>
    <t>Ciascun nodo del Cluster Server-GPU dovrà essere in grado di supportare schede GPU di formato PCIe prodotte da NVIDIA, AMD ed Intel.</t>
  </si>
  <si>
    <t>Il Cluster Server-GPU dovrà disporre di almeno nr.2 processori per ogni nodo di calcolo, ognuno dei quali compatibile con l’architettura x86_64 appartenenti alla famiglia Intel XEON Gold (almeno 4th generation “Sapphire Rapids”), con almeno 2GHz frequenza di base, 24 Core (Totale nr. 48 Core per nodo).</t>
  </si>
  <si>
    <t>Ogni nodo del Cluster Server-GPU dovrà avere una configurazione RAM composta da almeno nr. 16 banchi da 32GB di tipo RDIMM.</t>
  </si>
  <si>
    <t>Ogni nodo del Cluster Server-GPU dovrà avere uno storage interno composto da almeno nr. 1 disco da almeno 480GB SSD SATA Read Intensive.</t>
  </si>
  <si>
    <t>Ogni nodo del Cluster Server-GPU dovrà disporre di alimentazione ridondata 2800W AC classe Titanium.</t>
  </si>
  <si>
    <t>Ogni nodo del Cluster Server-GPU dovrà essere equipaggiato con almeno nr. 2 schede Dual Port 100GbE QSFP28 Adapter, PCIe, 100GbE.</t>
  </si>
  <si>
    <t>Ogni nodo del Cluster Server-GPU dovrà essere equipaggiato con almeno nr. 2 GPU NVIDIA Ampere A30 con tecnologia NVLINK Bridging. Sarà accettata anche una configurazione con almeno una scheda GPU Nvidia H100.</t>
  </si>
  <si>
    <t>Ciascuna GPU di ogni nodo del Cluster Server-GPU dovrà fornire funzionalità MIG (Multi-Instance GPU) per essere partizionata in più istanze isolate di dimensioni ridotte e consentire a più utenti di poter eseguire diversi carichi di lavoro contemporaneamente massimizzandone l'utilizzo.</t>
  </si>
  <si>
    <t>Ogni nodo del Cluster Server-GPU dovrà essere equipaggiato con nr. 2 dischi NVMe formato M.2 da almeno 480GB per il sistema operativo.</t>
  </si>
  <si>
    <t>Ogni nodo del Cluster Server-GPU dovrà essere equipaggiato con nr. 1 interfaccia BMC (Baseboard Management Controller) 1GbE Base-T compatibile IPMI versione 2.0 o superiore.</t>
  </si>
  <si>
    <t>L'aggiudicatario dovrà fornire un software di gestione e monitoraggio del Cluster Server-GPU in grado di garantire la piena integrazione con VMware, consentendo l'utilizzo del vCenter Server per gestire l'infrastruttura server, sia fisica che virtuale.</t>
  </si>
  <si>
    <t>LICENZE</t>
  </si>
  <si>
    <t>Licenze software Vmware</t>
  </si>
  <si>
    <t>L’aggiudicatario dovrà fornire licenze VMware vSphere 8 Enterprise Plus per tutti I socket del cluster. Le licenze richieste sono di tipo “perpetual”. Il requisito sarà comunque soddifatto anche in caso di fornitura di licenze di tipo “subscription” solo se le “perpetual” non risultino più disponibili. In tal caso dovrà essere fornita opportuna documentazione o dichiarazione ufficiale del produttore.</t>
  </si>
  <si>
    <t>L’aggiudicatario dovrà fornire nr. 1 licenza VMware vCenter Server 8 Standard. Le licenze richieste sono di tipo “perpetual”. Il requisito sarà comunque soddifatto anche in caso di fornitura di licenze di tipo “subscription” solo se le “perpetual” non risultino più disponibili. In tal caso dovrà essere fornita opportuna documentazione o dichiarazione ufficiale del produttore.</t>
  </si>
  <si>
    <t>Licenze Software NVIDIA</t>
  </si>
  <si>
    <t>L’aggiudicatario dovrà fornire licenze NVIDIA AI Enterprise “per GPU” in versione “EDU”. Le licenze richieste sono di tipo “perpetual”. Il requisito sarà comunque soddifatto anche in caso di fornitura di licenze di tipo “subscription” solo se le “perpetual” non risultino più disponibili. In tal caso dovrà essere fornita opportuna documentazione o dichiarazione ufficiale del produttore.</t>
  </si>
  <si>
    <t>INFRASTRUTTURA NETWORKING</t>
  </si>
  <si>
    <t>Infrastruttura Network Dati</t>
  </si>
  <si>
    <t>L'aggiudicatario dovrà fornire un'infrastruttura di switching ad alte prestazioni di classe Data Center, ridondata in modo da eliminare single point of failure e garantire scalabilità e flessibilità.</t>
  </si>
  <si>
    <t>La componente di networking dovrà essere basata su chipset standard-silicon e gli apparati dovranno essere dotati di alimentatori e ventole ridondati e hot-swap.</t>
  </si>
  <si>
    <t>La componente di networking dovrà essere composta da un minimo di nr.2 switch TOR.</t>
  </si>
  <si>
    <t>La componente di networking TOR dovrà fornire almeno 100 Gb/s di velocità di connessione, per garantire le massime prestazioni generali dell’intera infrastruttura.</t>
  </si>
  <si>
    <t>Ogni switch TOR dovrà avere un’occupazione massima di 1 Rack Unit.</t>
  </si>
  <si>
    <t>06-R-MIN-NET-DAT</t>
  </si>
  <si>
    <t>Ogni switch TOR devono essere dotati delle seguenti caratteristiche minime:</t>
  </si>
  <si>
    <t>A</t>
  </si>
  <si>
    <t>Almeno 32 porte 100Gbps QSFP28 con supporto delle velocità 10/25/40/100 Gbps.</t>
  </si>
  <si>
    <t>B</t>
  </si>
  <si>
    <t>Forwarding capacity minima: 4400 Mpps (Full Duplex, packet size &gt;350bytes).</t>
  </si>
  <si>
    <t>C</t>
  </si>
  <si>
    <t>Switching capacity minima 6,4 Tbps, non blocking.</t>
  </si>
  <si>
    <t>D</t>
  </si>
  <si>
    <t>Dotazione completa di ottiche e relative patch/bretelle, adeguate per qualità e quantità, per garantire le connessioni di uplink verso i nodi che constituiscono il Data Center (Nodi Compute, SAN, NAS e Soluzione di Backup).</t>
  </si>
  <si>
    <t>E</t>
  </si>
  <si>
    <r>
      <rPr>
        <rFont val="Calibri"/>
        <color rgb="FF000000"/>
        <sz val="9.0"/>
      </rPr>
      <t>l’interconnessione dei nodi (sia compute che storage)dovrà essere garantita ad una velocità di</t>
    </r>
    <r>
      <rPr>
        <rFont val="Calibri"/>
        <color theme="1"/>
        <sz val="9.0"/>
      </rPr>
      <t xml:space="preserve"> 100Gb/s ridondata. Il sistema di backup dovrà essere collegato ad una velocità di almeno 10Gb/s. Il collegamento verso la rete esistente dovrà essere di 10Gb/s.</t>
    </r>
  </si>
  <si>
    <t>Gli switch TOR dovranno supportare i classici protocolli standard per Datacenter e anche feature avanzate quali ad esempio BGP, EVPN, etc.</t>
  </si>
  <si>
    <t>Gli switch TOR dovranno supportare I meccanismi MC-LAG o equivalenti, in grado di rendere trasparente ai nodi un eventuale guasto o riavvio della componente switching fornita.</t>
  </si>
  <si>
    <t>Infrastruttura Network Out-Of-Band</t>
  </si>
  <si>
    <t>La rete per il management Out-Of-Band dovrà essere composta da un minimo di nr.1 switch.</t>
  </si>
  <si>
    <t xml:space="preserve">La rete per il management Out-Of-Band dovrà essere in tecnologia ethernet con velocità di accesso di almeno 1Gbps e dovrà avere alimentatori e ventole ridondati e hot-swap, in modo da non avere single point of failure. </t>
  </si>
  <si>
    <t>Lo switch di management Out-Of-Band dovrà avere una dimensione massima di 1 Rack Unit.</t>
  </si>
  <si>
    <t>L'architettura hardware dello switch di management dovrà essere basata su chipset standard-silicon.</t>
  </si>
  <si>
    <t>Lo switch di management dovrà avere almeno nr. 48 porte rame 1GbE e nr. 4 porte uplink 10GbE SFP+.</t>
  </si>
  <si>
    <t>Lo switch di Management dovrà essere completo di almeno nr. 2 ottiche 10G SR e relative patch LC-LC per l’interconnessione alla rete esistente del Datacenter.</t>
  </si>
  <si>
    <t>Infrastruttura Network – Software per il controllo</t>
  </si>
  <si>
    <t>L’aggiudicatario dovrà fornire un software per il controllo, il monitoraggio e la gestione della soluzione networking proposta, comprensivo delle licenze eventualmente necessarie per gli apparati che, se disponibili, dovranno essere preferibilmente di tipo perpetual.</t>
  </si>
  <si>
    <t>STORAGE "ALL-FLASH" END-TO-END NVMe SAN (Storage Area Network)</t>
  </si>
  <si>
    <t>Generali</t>
  </si>
  <si>
    <t xml:space="preserve">La soluzione di storage SAN dovrà appartenere alla più recente famiglia di prodotti rilasciati dal Vendor e direttamente da esso supportato. Deve quindi garantire un tempo di vita utile di almeno 5 anni. </t>
  </si>
  <si>
    <t>La soluzione di storage SAN dovrà essere di tipo “Unified” nativo, senza l’utilizzo di hardware esterno, ovvero supportare sia protocolli blocco (iSCSI, FC, vVol) che NAS (NFS, SMB) sebbene l’utilizzo finale sarà di tipo block.</t>
  </si>
  <si>
    <t>Capacità</t>
  </si>
  <si>
    <t>La soluzione di storage SAN dovrà fornire ai sistemi connessi una capacità di almeno 65 TB "usable" al netto della deduplica e compressione.</t>
  </si>
  <si>
    <t xml:space="preserve">La soluzione di storage SAN dovrà utilizzare un meccanismo di protezione del dato di tipo RAID 5 o equivalente con un disco hot spare, anche dinamicamente distribuito. </t>
  </si>
  <si>
    <t>Prestazioni</t>
  </si>
  <si>
    <t>La soluzione di storage SAN dovrà garantire una prestazione massima di almeno 150.000 IOPS.</t>
  </si>
  <si>
    <t>La soluzione di storage SAN dovrà utilizzare processori scalabili Intel Xeon (o equivalenti in termini di performance) e supportare tecnologie di storage All-Flash end-to-end NVMe quali SSD Intel OptaneTM a due porte, NVMe-FC e NVMe-IP, meccanismi di riduzione dei dati sempre attivi (in line).</t>
  </si>
  <si>
    <t>La soluzione di storage SAN dovrà automaticamente bilanciare le risorse per ottimizzare le prestazioni ed eliminare il sovraccarico di gestione.</t>
  </si>
  <si>
    <t>La soluzione di storage SAN dovrà essere di tipo High-End e “All-Flash”, ovvero essere specificatamente costruita per supportare solo drive di tipo All-Flash. La soluzione dovrà altresì essere di tipo multicontroller, ovvero essere in grado di aggregare risorse fino ad un massimo di nr. 2 controller. La ridondanza del singolo controller dovrà essere di tipo 1+1 o 1+n.</t>
  </si>
  <si>
    <t>La soluzione di storage SAN dovrà garantire scalabilità sia di tipo Scale-UP (aggiunta di dischi per coppia di controller) che scale-out (aggiunta di controller).</t>
  </si>
  <si>
    <t xml:space="preserve">La soluzione di storage SAN dovrà garantire il funzionamento dei controller esclusivamente in moldalità Active/Active sia sul Front-End che sul Back-End (no Active-Passive e/o Active-Standby). </t>
  </si>
  <si>
    <t>Le coppie di controller della soluzione di storage SAN che possono realizzare una scalabilità di tipo Scale-Out dovranno poter essere anche di diverso modello all’interno delle disponibilità della famiglia di prodotto.</t>
  </si>
  <si>
    <t>La soluzione di storage SAN dovrà supportare drive SCM fino alla capacità minima di 750GB.</t>
  </si>
  <si>
    <t>La soluzione di storage SAN dovrà supportare contemporaneamente protocolli di tipo Blocco e File senza la necessità di un hardware aggiuntivo, esterno ai controller.</t>
  </si>
  <si>
    <t>La soluzione di storage SAN dovrà essere realizzata con connessione full NVMe del Back-End oltre a rendere disponibile lo stesso protocollo NVMe, tra gli altri, al front-end. In generale, la connessione NVMe al Front-End dovrà essere possibile sia su connessione FC che IP.</t>
  </si>
  <si>
    <t>Ciascun controller della soluzione di storage SAN dovrà disporre di almeno nr. 20 core Intel x86 o equivalenti (nr. 40 core per singolo storage).</t>
  </si>
  <si>
    <t>Scalabilità</t>
  </si>
  <si>
    <t>La soluzione di storage SAN dovrà poter funzionare con un minimo di una coppia di controller e poter scalare fino ad almeno nr. 2 coppie di controller (appliance) Active/Active.</t>
  </si>
  <si>
    <t>La soluzione di storage SAN non dovrà avere una scalabilità massima inferiore a nr. 150 dischi delle tipologie NVMe, SSD &amp; SCM (Storage Class Memory), tutti Dual-Port Enterprise con differenti capacità e dovrà essere possibile il mix e la crescita di un singolo disco alla volta anche con lo storage in configurazione scale-out.</t>
  </si>
  <si>
    <t>La soluzione di storage SAN dovrà poter ospitare ed utilizzare dischi SCM come storage persistente dei dati.</t>
  </si>
  <si>
    <t>L soluzione di storage SAN dovrà consentire di effettuare il tiering dei metadati dalla cache NVRAM della soluzione a un supporto disco di tipo SCM e dovrà supportare almeno una unità NVMe SCM (Storage Class Memory) da utilizzare come cache dei metadati.</t>
  </si>
  <si>
    <t>La soluzione di storage SAN dovrà prevedere nr. 2 porte IP di front end da 100Gbps per ogni controller.</t>
  </si>
  <si>
    <t>La soluzione di storage SAN dovrà essere in grado di scalare, semplicemente attraverso l'aggiunta di ulteriori dischi e/o ulteriori appliance senza impatti sull'operatività (upgrade a caldo).</t>
  </si>
  <si>
    <t>La soluzione di storage SAN dovrà supportare l'aggiornamento dei controller con modelli più recenti online (senza interruzioni) e senza modificare lo chassis principale.</t>
  </si>
  <si>
    <t>Disponibilità</t>
  </si>
  <si>
    <t>La soluzione di storage SAN dovrà fornire alta affidabilità, integrità e protezione dei dati, con un obiettivo di uptime del 99,9999%.</t>
  </si>
  <si>
    <t>La soluzione di storage SAN dovrà supportare aggiornamenti hardware e software di soluzione senza interruzioni.</t>
  </si>
  <si>
    <t>La soluzione di storage SAN dovrà disporre di batterie in grado di mantenere i dati in cache in caso di mancanza di energia elettrica.</t>
  </si>
  <si>
    <t>La soluzione di storage SAN dovrà supportare una protezione dei dati di tipo Single Parity o Dual Parity, ovvero distribuire i dati di parità sull’intero spazio disponibile per il pool. Allo stesso modo dovrà essere distribuito all’interno del pool lo spazio riservato per consentire la ricostruzione dei dati in caso di disk failure.</t>
  </si>
  <si>
    <t>Flessibilità</t>
  </si>
  <si>
    <t>La soluzione di storage SAN dovrà supportare diverse applicazioni e ambienti virtualizzati come VMware, MS Hyper-V, Windows, Linux, AIX, Oracle, SAP S4/HANA, MS Exchange, MS SQL.</t>
  </si>
  <si>
    <t xml:space="preserve">La soluzione di storage SAN dovrà supportare il protocollo NDMP v1-v4 3Way e i protocolli File, NFS V3/V4, SMB3, vVOL 2.0. </t>
  </si>
  <si>
    <t>La soluzione di storage SAN dovrà consentire l'incremento unitario dei dispositivi disco SCM sia se usati come tier persistente di storage sia se usati come cache per metadati.</t>
  </si>
  <si>
    <t>Efficienza</t>
  </si>
  <si>
    <t>La soluzione di storage SAN dovrà supportare la compressione e la deduplica online per garantire la massima efficienza.</t>
  </si>
  <si>
    <t>La soluzione di storage SAN non dovrà prevedere riduzioni del dato realizzate “on-time”, ovvero in modo Batch.</t>
  </si>
  <si>
    <t>La compressione e la deduplica della soluzione di storage SAN dovranno funzionare su tutte le unità disco fornite ed essere efficiente per tutte le strutture di dati comunemente archiviate (non sono ammesse soluzioni che non forniscano compressione e deduplica sull'intera capacità richiesta).</t>
  </si>
  <si>
    <t>La soluzione di storage SAN dovrà, sulla base del livello di utilizzo dei controller, gestire la priorità dei processi di deduplica. Nello specifico delle operazioni di compressione, al fine di garantire le prestazioni della soluzione, dovranno essere realizzate su specifico hardware di compressione e non a carico dei processori di sistema.</t>
  </si>
  <si>
    <t>La deduplica della soluzione di storage SAN dovrà essere di tipo globale ed essere effettuata a livello di appliance. Pertanto un blocco deduplicabile dovrà poter essere individuato nell’intero spazio dati prescindendo dal controller, dal pool, o dallo storage group.</t>
  </si>
  <si>
    <t>La soluzione di storage SAN dovrà supportare completamente le funzionalità di Thin Provisioning, nota anche come Virtual Provisioning. La licenza per la funzionalità Thin Provisioning dovrà essere inclusa per la capacità intera dell'Array (nessun limite di licenza basato sulla capacità).</t>
  </si>
  <si>
    <t>La soluzione di storage SAN, in condizioni ottimale, dovrà garantire un livello di deduplica (ove possibile) di un fattore minimo di 3:1.</t>
  </si>
  <si>
    <t>Integrazione con ambienti di virtualizzazione</t>
  </si>
  <si>
    <t>La soluzione di storage SAN dovrà integrare nativamente gli ambienti di VMware tramite l'utilizzo di VAAI (VMware API) VADP (vStorage per l'integrazione di Array), in modo da poter delegare operazioni VMware, come l'implementazione dello storage, la clonazione/lo snap e VMotion al sotto soluzione di storage.</t>
  </si>
  <si>
    <t xml:space="preserve">La soluzione di storage SAN dovrà supportareanche Microsoft ODX e l’integrazione Vmware VASA. </t>
  </si>
  <si>
    <t>La soluzione di storage SAN dovrà disporre, quando in configurazione di più appliance, lo spostamento dei dati in tempo reale e senza impatti operativi tra i diversi sistemi di storage senza necessità di ulteriore licenza.</t>
  </si>
  <si>
    <t>La soluzione di storage SAN dovrà offrire un meccanismo di AI per lo spostamento dei dati al fine di consentire il miglior posizionamento possibile in base al carico di lavoro online.</t>
  </si>
  <si>
    <t>Protezione locale e remota</t>
  </si>
  <si>
    <t>La soluzione di storage SAN dovrà supportare almeno la replica remota asincrona block level, di tipo bidirezionale su IP con opzione per impostare le relazioni con: "1:1", "1: n" e "n:1".</t>
  </si>
  <si>
    <t>La soluzione di storage SAN dovrà poter supportare la Business Continuity attraverso configurazioni Active/Active Data Center, consentendo di effettuare operazioni di scrittura sugli stessi volumi e su entrambi i siti, al fine di limitare l'overhead di latenza non sono consentite soluzioni Active-Passive. È richiesto di valore di RPO ed RTO =0 (della componente storage) ed è considerato fattore di miglioramento la possibilità di avere un DTO (Decision Time Objective) = 0 attraverso l'utilizzo di uno strumento di witness.</t>
  </si>
  <si>
    <t>La soluzione di storage SAN dovrà supportare la protezione locale (snapshot con tecnologia Redirect-On-Write e thin clone), non sono consentite soluzioni di tipo Copy-On-Write.</t>
  </si>
  <si>
    <t>La soluzione di storage SAN dovrà supportare le copie coerenti (Consistency Group) sia con le repliche locali (snapshot) che remote.</t>
  </si>
  <si>
    <t>Licenze</t>
  </si>
  <si>
    <t>La soluzione di storage SAN dovrà comprendere una licenza per l'intera capacità offerta e per tutte le funzionalità supportate come ad esempio: supporto scale-out, repliche sincrone ed asincrone, snapshot, cloni, consistency group, data reduction, encryption, reporting e monitoraggio avanzati, ecc</t>
  </si>
  <si>
    <t>Gestione</t>
  </si>
  <si>
    <t>La soluzione di storage SAN dovrà semplificare la gestione e ridurre le attività dell'amministratore attraverso la fornitura di GUI, CLI e RestAPI con funzionalità di gestione e monitoraggio.</t>
  </si>
  <si>
    <t>La soluzione di storage SAN dovrà essere integrabile con il software di gestione dell'infrastruttura di virtualizzazione. Inoltre dovrà supportare VMware vRO e disporre di workflow disponibili per vRO, deve supportare il plug-in CSI per Kubernetes e deve supportare le automazioni tramite PlayBook Ansible.</t>
  </si>
  <si>
    <t xml:space="preserve">La soluzione di storage SAN dovrà supportare il monitoraggio cloud per le prestazioni (latenza, IOPS, lettura/scrittura, larghezza di banda, dimensione i/o, lunghezza coda), capacità (totale, risparmio-compressione, deduplica., thin, snapshot) e configurazione con possibilità di reindirizzare l'Alert a un indirizzo email e di accedere facilmente tramite l'applicazione vendor per dispositivi mobile (Android e iOS). </t>
  </si>
  <si>
    <t>Il software per il monitoraggio in claud della soluzione di storage SAN dovrà essere ospitato in un ambiente vendor senza alcun costo aggiuntivo per l'intera durata del supporto della soluzione proposta e fornire almeno un anno di dati cronologici.</t>
  </si>
  <si>
    <t>Sicurezza</t>
  </si>
  <si>
    <t>La soluzione di storage SAN dovrà massimizzare la sicurezza delle informazioni e ridurre al minimo i rischi di downtime, perdita/danneggiamento dei dati, accesso non autorizzato e errore di conformità.</t>
  </si>
  <si>
    <t>La soluzione di storage SAN dovrà supportare l'archivio dei registri di audit per almeno 180 giorni.</t>
  </si>
  <si>
    <t>La soluzione di storage SAN dovrà supportare la crittografia dei dati senza impatti sulle prestazioni, nel rispetto minimo della certificazione "FIPS-140-2".</t>
  </si>
  <si>
    <t>SCALE-OUT NAS (Network Attached Storage)</t>
  </si>
  <si>
    <t>Il sistema di storage NAS dovrà avere la caratteristica strutturale di essere modulare, a scalabilità lineare su tutte le sue principali componenti. Dovrà essere possibile aumentare le capacità computazionali, di memoria cache e di throughput dell’I/O di front-end in modo lineare all’aumento della capacità di archiviazione del sistema stesso.</t>
  </si>
  <si>
    <t xml:space="preserve">La sistema di storage NAS dovrà prevedere la possibilità di integrare componenti hardware di generazioni differenti mantenendo una piena compatibilità con il resto del sistema. Eventuali refresh tecnologici che si rendessero necessari per l’incremento della richiesta di prestazioni o di nuove funzionalità del sistema dovrà avvenire in modo del tutto trasparente, senza fermi o disservizi e senza la necessità di una procedura di migrazione manuale dei dati. </t>
  </si>
  <si>
    <t>Il sistema di storage NAS dovrà prevedere la possibilità di integrare al suo interno componenti di caratteristiche e prestazioni differenti: dovrà essere possibile utilizzare dischi di tipologie, prestazioni e dimensioni differenti, componenti di I/O di front-end con prestazioni differenziate, CPU o cache memory di tipologia differenziata. Tutte queste componenti, sebbene diverse per caratteristiche, dovranno poter essere completamente integrate tra loro in modo da apparire alle applicazioni o all’utenza dal punto di vista logico come una sola componente atomica.</t>
  </si>
  <si>
    <t>Nel rispetto della caratteristica di atomicità descritte nel requisito precedente, il sistema di storage NAS dovrà prevedere la possibilità di suddividere in modo granulare le sue risorse e le sue componenti in modo da poter creare dei sottosistemi specifici con caratteristiche diverse tra loro e dedicati, secondo le necessità, a compiti e servizi puntuali.Viene lasciata piena libertà sulle modalità con la quale il sistema rende disponibile questo tipo di suddivisione delle risorse interne pur nel rispetto dei seguenti vincoli di base:</t>
  </si>
  <si>
    <t>Esecuzione a caldo della suddivisione.</t>
  </si>
  <si>
    <t>Configurazione dinamica e modificabile nel corso del tempo secondo le necessità.</t>
  </si>
  <si>
    <t>Migrazione automatica dei dati in funzione della configurazione di suddivisione applicata.</t>
  </si>
  <si>
    <t>Possibilità di definire specifici servizi erogabili solo da una specifica partizione del sistema.</t>
  </si>
  <si>
    <t>Funzionali</t>
  </si>
  <si>
    <t>Il sistema di storage NAS dovrà supportare un approccio Scale-Out NAS pur costituendo un unico sottosistema. Non dovrà essere composta da due o più sezioni separate per la parte “computazionale”, di “accesso al file system” e “capacitiva”.</t>
  </si>
  <si>
    <t>Il sistema di storage NAS dovrà prevedere la possibilità di organizzare i dati in un unico File System.</t>
  </si>
  <si>
    <t>Il sistema di storage NAS dovrà poter raggiungere performance e capacità storage lineari aggiungendo nodi storage, ciascuno con i suoi Dischi, Cache, I/O e potenza computazionale (CPU) per assicurare la scalabilità lineare e la crescita semplificata del sistema.</t>
  </si>
  <si>
    <t>Tutti i nodi storage/controller del sistema di storage NAS dovranno essere attivi, contribuendo in modo paritetico alle performance e alla capacità del sistema.</t>
  </si>
  <si>
    <t>Il sistema di storage NAS dovrà consentire la coesistenza di nodi di differenti generazioni di hardware, senza cambiamenti alla configurazione esistente anche mentre il sistema è online. Deve consentire inoltre la dismissione di hardware di vecchia generazione se e quando richiesto.</t>
  </si>
  <si>
    <t>Il sistema di storage NAS dovrà supportare il bilanciamento automatico e senza interruzione del servizio dei dati su tutti i nodi attraverso gli storage pool per ottenere performance ottimali e efficienza della capacità anche in caso di espansioni successive del sistema.</t>
  </si>
  <si>
    <t>Gli upgrade del sistema di storage NAS dovranno essere applicati senza il cambio della configurazione dei nodi storage/controller offerta.</t>
  </si>
  <si>
    <t>Il sistema di storage NAS dovrà fornire l’accesso per una varietà di sistemi operativi (UNIX, MAC, Linux, Windows) usando tutti i protocolli standard: NFSv3, NFSv4, SMB2.0 e SMB 3.0 (CIFS), HTTP, FTP, garantendo l’interoperabilità e l’usabilità dei dati archiviati sul cluster. Tutti i protocolli dovranno essere inclusi senza licenze addizionali o ulteriore hardware.</t>
  </si>
  <si>
    <t>Il sistema di storage NAS dovrà essere in grado di supportare la coesistenza di dischi SATA e SSD all’interno di un unico file system, fornendo agli utenti finali e alle applicazioni capacità aggregata e la visione delle performance del sistema.</t>
  </si>
  <si>
    <t>Il sistema di storage NAS dovrà avere una cache coerente globale, scalabile quando vengono aggiunti più nodi al cluster.</t>
  </si>
  <si>
    <t>File System e Scalabilità</t>
  </si>
  <si>
    <t>L' accesso dei client al file system e alle share del sistema di storage NAS dovrà essere automaticamente distribuito su tutti i nodi per ottimizzare le performance del sistema.</t>
  </si>
  <si>
    <t>Il file system del sistema di storage NAS dovrà permettere un numero illimitato di accessi client indipendentemente dal sistema operativo e dal protocollo.</t>
  </si>
  <si>
    <t>Integrità, Protezione e Disponibilità del dato</t>
  </si>
  <si>
    <t>Il sistema di storage NAS dovrà poter supportare il guasto contemporaneo di almeno due dischi o di un nodo storage/controller senza perdita dei dati.</t>
  </si>
  <si>
    <t>Il sistema di storage NAS dovrà consentire di modificare le impostazioni e i livelli di protezione del dato a caldo e senza disservizio.</t>
  </si>
  <si>
    <t>Il sistema di storage NAS dovrà consentire di modificare il livello di protezione del dato in maniera granulare a livello di sistema, directory o file.</t>
  </si>
  <si>
    <t>Il sistema di storage NAS dovrà supportare la quota utenti con limiti soft o hard ed Over Provisioning.</t>
  </si>
  <si>
    <t>Il sistema di storage NAS dovrà supportare nativamente la possibilità di replicare i dati su un sistema remoto tramite meccanismi di replica asincrona.</t>
  </si>
  <si>
    <t>Il sistema di storage NAS dovrà offrire, se richiesto, un sistema di protezione dagli attacchi di tipo Ransomware, integrata e con la possibilità di creare un eventuale sito di Vault.</t>
  </si>
  <si>
    <t>Gestione e Amministrazione</t>
  </si>
  <si>
    <t>Il sistema di storage NAS dovrà offrire l’interfaccia Web e la CLI.</t>
  </si>
  <si>
    <t>Il sistema di storage NAS dovrà offrire il monitoring tramite protocollo SNMP.</t>
  </si>
  <si>
    <t>Il sistema di storage NAS dovrà supportare l’autenticazione degli utenti e degli amministratori con LDAP e Active Directory.</t>
  </si>
  <si>
    <t>Il sistema di storage NAS dovrà supportare lo storico delle performance e la loro analisi.</t>
  </si>
  <si>
    <t>Il sistema di storage NAS dovrà fornire funzionalità di monitoraggio remoto e di dial-home al fine di allertare il fornitore di eventuali guasti e/o richieste di manutenzione.</t>
  </si>
  <si>
    <t>Il sistema di storage NAS dovrà supportare funzioni di Auditing e la possibilità di esportare i log tramite protocollo CEE o Syslog.</t>
  </si>
  <si>
    <t>Architetturali</t>
  </si>
  <si>
    <t>Il sistema di storage NAS nella configurazione base dovrà essere composto da almeno nr. 2 nodi storage/controller.</t>
  </si>
  <si>
    <t>Il sistema di storage NAS dovrà disporre di uno spazio RAW capacitivo totale con dischi SATA di almeno 180 TB.</t>
  </si>
  <si>
    <t>Il sistema di storage NAS dovrà disporre di uno spazio RAW con dischi SSD (cache) di almeno nr.1 disco da 800 GB.</t>
  </si>
  <si>
    <t>Il sistema di storage NAS dovrà disporre di connettività front-end verso i sistemi server di almeno 100GbE per nodo/controller.</t>
  </si>
  <si>
    <t>da integrare nei migliorativi!</t>
  </si>
  <si>
    <t>Il sistema di storage NAS dovrà disporre di nr.1 interfacce di gestione 1GbE per nodo/controller.</t>
  </si>
  <si>
    <t xml:space="preserve">Software </t>
  </si>
  <si>
    <t>Il sistema di storage NAS dovrà disporre di una licenza software per la gestione della rete, degli accessi e del failover delle porte.</t>
  </si>
  <si>
    <t>Il sistema di storage NAS dovrà disporre di una licenza software per la gestione delle Quote.</t>
  </si>
  <si>
    <t>Il sistema di storage NAS dovrà disporre di una licenza software per la gestione delle Snapshot.</t>
  </si>
  <si>
    <t>Il sistema di storage NAS dovrà disporre di una licenza software per il supporto al protocollo HDFS.</t>
  </si>
  <si>
    <t>Il sistema di storage NAS dovrà disporre di software di monitoring e reportistica avanzato.</t>
  </si>
  <si>
    <t>INFRASTRUTTURA DI BACKUP (HARDWARE E SOFTWARE)</t>
  </si>
  <si>
    <t>La soluzione di backup dovrà essere costituita da un sistema indipendente e può presentarsi come un “appliance” rack-mountable o come insieme di componenti hardware/software.</t>
  </si>
  <si>
    <t>La soluzione di backup dovrà disporre di dischi per la conservazione dei dati di tipo SAS di classe Enterprise.</t>
  </si>
  <si>
    <t>La soluzione di backup dovrà disporre di una quantità di spazio utile pari a 100 TB.</t>
  </si>
  <si>
    <t>La soluzione di backup dovrà disporre di nr. 4 porte da almeno 10 GbE di front-end.</t>
  </si>
  <si>
    <t>La soluzione di backup dovrà prevedere l’alta affidabilità a livello locale, almeno per i seguenti componenti: alimentatori e ventole.</t>
  </si>
  <si>
    <t>Il ripristino dei componenti disco, alimentatore e ventola della soluzione di backup non dovrà comportare alcun disservizio e dovrà essere possibile senza shut down del sistema.</t>
  </si>
  <si>
    <t>La soluzione di backup dovrà includere un meccanismo proattivo di segnalazione dei guasti hardware. Tale meccanismo dovrà inoltre attivare il Supporto Tecnico del vendor ed aprire automaticamente un ticket di supporto.</t>
  </si>
  <si>
    <t>La soluzione di backup dovrà poter scalare (scale up) con semplice aggiunta di dischi fino ad almeno 150TB utili.</t>
  </si>
  <si>
    <t>La soluzione di backup dovrà poter essere gestita da un’unica console con interfaccia grafica web-based. Inoltre dovrà poter essere acceduta via SSH, Telnet, FTP, HTTP, e HTTPS.</t>
  </si>
  <si>
    <t>La soluzione di backup dovrà offrire reportistica e supporto SNMP.</t>
  </si>
  <si>
    <t>La soluzione di backup dovrà supportare almeno i protocolli NAS (CIFS/NFS v.3 e 4).</t>
  </si>
  <si>
    <t>La soluzione di backup dovrà integrarsi con con almeno i seguenti software di backup: Veeam, Veritas NetBackup, IBM Spectrum, Commvault, Power Protect Data Manager e deve prevedere la possibilità di effettuare il backup dei DB SQL e di vari workload open in maniera ottimizzata.</t>
  </si>
  <si>
    <t>Software</t>
  </si>
  <si>
    <t xml:space="preserve">Il software utilizzato per la soluzione di backup dovrà avere la piena integrazione con il sistema di virtualizzazione VMware richiesto per l’infrastruttura. </t>
  </si>
  <si>
    <t>Il software utilizzato per la soluzione di backup dovrà avere un'unica interfaccia utente per il monitoraggio attivo con funzionalità di gestione semplificando l'intera esperienza di protezione dei dati.</t>
  </si>
  <si>
    <t>Il software utilizzato per la soluzione di backup dovrà permettere la protezione di Kubernetes.</t>
  </si>
  <si>
    <t>Il software utilizzato per la soluzione di backup dovrà usare la tecnologia della deduplicazione dati a blocco variabile automatica lato sorgente: il sistema dovrà essere in grado di segmentare intelligentemente i file in sub file di lunghezza variabile, applicando ad ogni segmento un algoritmo di hash per identificarli in futuro.</t>
  </si>
  <si>
    <t>Il software utilizzato per la soluzione di backup dovrà essere fornito con un licensing capacitivo oppure a Sockets, licenziato sull’intera capacità (TB) o numero di Sockets dell’infrastruttura su cui risiede il dato sorgente descritta ai paragrafi precedenti (server e storage all-flash).</t>
  </si>
  <si>
    <t>"RACK" E "PDU" PER IL CONTENIMENTO DEGLI APPARATI</t>
  </si>
  <si>
    <t>L'intera infrastruttatura Data Center dovrà essere ospitata all'interno di nr. 3 rack che dovranno avere le seguenti caratteristiche minime comuni:
• 600W x 1200D mm;
• 42 Unit disponibili;
• Porte anteriori e posteriori;
• Pannelli laterali.</t>
  </si>
  <si>
    <t>Ciascuno dei nr. 3 rack che ospiteranno l'intera infrastruttatura Data Center dovrà essere dotato di nr. 2 PDU dalle seguenti caratteristiche minime:
• 22kW 230V 32 A;
• nr. 30 C13 e nr. 12 C19 prese di alimentazione;
• Input Connection Type IEC 60309 32 A 3P + N + E .</t>
  </si>
  <si>
    <t>SERVIZI DI FORMAZIONE (TRAINING ON THE JOB)</t>
  </si>
  <si>
    <t>L’aggiudicatario dovrà fornire e garantire un programma di addestramento all’uso ed alla manutenzione ordinaria della strumentazione (formazione di base) per permettere al personale tecnico dell’Università della Tuscia di acquisire le competenze tecniche necessarie alla piena ed autonoma gestione dei dispositivi oggetto della fornitura.</t>
  </si>
  <si>
    <t>L'aggiudicatario dovrà provvedere ad una formazione di tipo "Training on the job" durante l’installazione, la configurazione e l’attivazione degli apparati che dovrà avere una durata non inferiore a nr. 5 giornate non continuative.</t>
  </si>
  <si>
    <t>ALTRO</t>
  </si>
  <si>
    <t>L’aggiudicatario dovrà garantire la fornitura e l'erogazione dei  servizi di installazione, configurazione, formazione, manutenzione e supporto tramite un unico punto di contatto (single point of contact), facendosi carico della risoluzione di eventuali problematiche a carico di componenti hardware e software di terze parti.</t>
  </si>
  <si>
    <t>L’aggiudicatario dovrà garantire il supporto ufficiale per tutti i prodotti hardware e software offerti. Sarà causa di esclusione la fornitura di prodotti ricondizionati o provenienti da canali non ufficiali.</t>
  </si>
  <si>
    <t>Determinazio coefficiente qualitativo (Punteggio discrezionale):</t>
  </si>
  <si>
    <t>Giudizio</t>
  </si>
  <si>
    <t>Coefficiente</t>
  </si>
  <si>
    <t>Criterio di giudizio della proposta /del miglioramento</t>
  </si>
  <si>
    <t>Ottimo</t>
  </si>
  <si>
    <t>Con riferimento alla proposta presentata è ragionevolmente esclusa la possibilità di soluzioni migliori.</t>
  </si>
  <si>
    <t>Buono</t>
  </si>
  <si>
    <t>La proposta presenta aspetti positivi evidenti ed apprezzabili ma inferiori a soluzioni ottimali.</t>
  </si>
  <si>
    <t>Sufficiente</t>
  </si>
  <si>
    <t>La proposta presenta aspetti positivi apprezzabilmente di qualche pregio.</t>
  </si>
  <si>
    <t>Parzialmente Adeguato</t>
  </si>
  <si>
    <t>La proposta risulta essere appena sufficiente con pochi elementi di pregio.</t>
  </si>
  <si>
    <t>Inadeguato</t>
  </si>
  <si>
    <t>Non è presenta alcuna proposta o miglioramenti rilevanti.</t>
  </si>
  <si>
    <t>Rif. Disciplinare §18.2.1.a</t>
  </si>
  <si>
    <t xml:space="preserve">Rif. Disciplinare §18.2.1.b </t>
  </si>
  <si>
    <t xml:space="preserve">Rif. Disciplinare §18.2.1.c </t>
  </si>
  <si>
    <t># OFFERTA</t>
  </si>
  <si>
    <t>Coefficiente attribuito dal 
1^ commissario</t>
  </si>
  <si>
    <t>Coefficiente attribuito dal 
2^ commissario</t>
  </si>
  <si>
    <t>Coefficiente attribuito dal 
3^ commissario</t>
  </si>
  <si>
    <t>Coefficiente unico provvisorio</t>
  </si>
  <si>
    <t>Coefficiente unico DEFINITIVO</t>
  </si>
  <si>
    <t>Bsistemi S.p.A</t>
  </si>
  <si>
    <t>YYY</t>
  </si>
  <si>
    <t>ZZZ</t>
  </si>
  <si>
    <t>Punti max</t>
  </si>
  <si>
    <t>PUNTI D 
Max</t>
  </si>
  <si>
    <t>PUNTI Q 
Max</t>
  </si>
  <si>
    <t>PUNTI T 
Max</t>
  </si>
  <si>
    <t>Q.tà 
OFFERTA "Bsistemi S.p.A"</t>
  </si>
  <si>
    <t>Q.tà 
OFFERTA "…….."</t>
  </si>
  <si>
    <t>Calcolo Coefficienti 
OFFERTA "Bsistemi S.p.A"</t>
  </si>
  <si>
    <t>Calcolo Coefficienti 
OFFERTA "…….."</t>
  </si>
  <si>
    <t>Punti 
OFFERTA "Bsistemi S.p.A"</t>
  </si>
  <si>
    <t>Sarà valutata la qualità della relazione tecnica prevista dal requisito "01-R-MIN-CED-GEN" in termini di completezza e consistenza della proposta sotto il profilo delle caratteris\tiche generali e di dettaglio delle sue componenti.</t>
  </si>
  <si>
    <t>SI</t>
  </si>
  <si>
    <t>NO</t>
  </si>
  <si>
    <t>Sarà considerata migliorativa la soluzione che disporrà per ciascun nodo del Cluster Server-GPU di nr. 32 slot DIMMs per la memoria Ram.</t>
  </si>
  <si>
    <t>Sarà considerata migliorativa la soluzione che consentirà per ciascun nodo del Cluster Server-GPU l'utilizzo di memorie Ram di tipo DDR5.</t>
  </si>
  <si>
    <t>Sarà considerata migliorativa la soluzione che per ciascun nodo del Cluster Server -GPU offrirà la capacità di supportare fino a nr. 4 GPU NVIDIA Ampere A30 con tecnologia NVLINK Bridging. In alternativa, il punteggio sarà assegnato qualora ogni nodo della fornitura sia equipaggiato con una scheda GPU NVIDIA H100.</t>
  </si>
  <si>
    <t>Sarà considerata migliorativa la soluzione Cluster Server - GPU che prevede una fornitura di nodi aggiuntivi in configurazione minima oltre il numero minimo richiesto (nr. 8) fino ad un massimo di nr. 12. La configurazione minima si intenderà rispettata qualora i nodi aggiuntivi siano equipaggiati con schede NVIDIA H100.</t>
  </si>
  <si>
    <t>Sarà considerata migliorativa la soluzione Cluster Server-GPU che prevede una fornitura aggiuntiva di schede GPU NVIDIA Ampere A30 con tecnologia NVLINK Bridging e relative licenze fino ad un massimo di nr. 20. Il calcolo del coefficiente prende in considerazione anche le schede dei nodi aggiuntivi che dovranno essere forniti in configurazione minima (04-R-MIG-SRV-GPU).</t>
  </si>
  <si>
    <t>In alternativa, in caso di fornitura di schede NVIDIA H100 sarà considerata migliorativa la soluzione Cluster Server-GPU che prevede una fornitura aggiuntiva di schede GPU NVIDIA Ampere H100 e relative licenze fino ad un massimo di nr. 4. Il calcolo del coefficiente prende in considerazione le schede dei nodi aggiuntivi che dovranno essere forniti in configurazione minima (04-R-MIG-SRV-GPU).</t>
  </si>
  <si>
    <r>
      <rPr>
        <rFont val="Calibri"/>
        <color theme="1"/>
        <sz val="9.0"/>
      </rPr>
      <t>Sarà considerata migliorativa la soluzione Cluster Server-GPU che prevede</t>
    </r>
    <r>
      <rPr>
        <rFont val="Calibri"/>
        <color theme="1"/>
        <sz val="9.0"/>
        <u/>
      </rPr>
      <t xml:space="preserve"> per ciascun nodo </t>
    </r>
    <r>
      <rPr>
        <rFont val="Calibri"/>
        <color theme="1"/>
        <sz val="9.0"/>
      </rPr>
      <t xml:space="preserve">dell'intera soluzione proposta una fornitura aggiuntiva di Ram fino ad un massimo di 1 TB per nodo. 
</t>
    </r>
    <r>
      <rPr>
        <rFont val="Calibri"/>
        <color theme="1"/>
        <sz val="9.0"/>
        <u/>
      </rPr>
      <t>Saranno ammesse configurazioni aggiuntive di ram che garantiscano il bilanciamento di tutti i processori di ciascun nodo.</t>
    </r>
  </si>
  <si>
    <t>Sarà considerata migliorativa la soluzione networking che utilizzerà per la connessione dei nodi del Cluster Server-GPU e per la SAN cavi DAC a 100Gbps.</t>
  </si>
  <si>
    <t>Software per il network management</t>
  </si>
  <si>
    <t>Sarà considerata migliorativa una soluzione per il networking con supporto ONIE (Open Networking Install Environment) per l’utilizzo di sistemi operativi alternativi linux-based, anche diversi da quelli sviluppati dal produttore hardware. L’eventuale utilizzo di S.O. diversi da quelli del produttore non deve inficiare il supporto hardware degli apparati stessi.</t>
  </si>
  <si>
    <t>Sarà considerata migliorativa una soluzione per il networking  che utilizzi nativamente un sistema operativo di tipo container based.</t>
  </si>
  <si>
    <t xml:space="preserve">Sarà considerata migliorativa la soluzione di storage SAN che prevede una fonitura aggiuntiva di spazio "usable" rispetto al requisito minimo (65 TB "usable") fino ad un massimo di 100 TB "usable". </t>
  </si>
  <si>
    <t>Sarà considerata migliorativa la soluzione di storage SAN che prevede nella configurazione base offerta nr. 10 slot disco liberi per future espansioni.</t>
  </si>
  <si>
    <t>Sarà considerata migliorativa la soluzione di storage SAN che supporti una soluzione di tipo "Scale-Out"  fino a 4 coppie di controller in modalità active/active (8 controller totali) e fino a 10 TB.</t>
  </si>
  <si>
    <t>Sarà considerato migliorativo per il sistema storage NAS il supporto nativo ad ulteriori protocolli senza l’utilizzo di licenze addizionali, l’aggiunta di gateway fisici o ulteriore hardware.</t>
  </si>
  <si>
    <t>Supporto nativo per il protocollo object S3.</t>
  </si>
  <si>
    <t>Supporto nativo per il protocollo HDFS (Hadoop v1, v2 e v3).</t>
  </si>
  <si>
    <t xml:space="preserve">Sarà considerato migliorativo per il sistema storage NAS una soluzione costituita da un insieme di nodi, paritetici e indipendenti, che operano in una struttura di intelligenza distribuita che ripartisca il carico di lavoro (servizi, sessioni, I/O, dati, carico computazionale) su tutti i nodi del sistema o, mediante policy configurabili e modificabili a caldo, su un loro sottoinsieme. </t>
  </si>
  <si>
    <t>Sarà considerato migliorativo per il sistema storage NAS la capacità di offrire meccanismi di deduplica e compressione inline per la riduzione dello spazio fisico occupato.</t>
  </si>
  <si>
    <t>Sarà considerato migliorativo per il sistema storage NAS la capacità di supportare il WORM con meccanismi di protezione di tipo locking e compliant con le regolamentazioni SEC 17a-4.</t>
  </si>
  <si>
    <t xml:space="preserve">Sarà considerato migliorativo per il sistema storage NAS la possibilità di creare tier di capacità e performance differenti e composti da dischi di tipologia differente (SATA e SSD) con file system unico. </t>
  </si>
  <si>
    <t>Sarà considerato migliorativo per il sistema storage NAS la possibilità di gestire il ciclo di vita dei dati e di migrare i file tra i differenti tier, utilizzando politiche basate sull’età del file, sul tipo, sulla dimensione e sulla posizione nelle directory.</t>
  </si>
  <si>
    <t xml:space="preserve">Sarà considerata migliorativa la soluzione di storage NAS che prevede una fornitura aggiuntiva di spazio "raw" rispetto al requisito minimo (180 TB "raw") fino ad un massimo di 500 TB "raw". </t>
  </si>
  <si>
    <t>Sarà considerata migliorativa la soluzione di storage NAS che disporre di connettività front-end verso i sistemi server con velocità superiore a 100 GbE.</t>
  </si>
  <si>
    <t>Sarà considerata migliorativa la soluzione di storage NAS che avrà una occupazione complessiva non superiore a 4 rack unit.</t>
  </si>
  <si>
    <t>Backup</t>
  </si>
  <si>
    <t xml:space="preserve">Sarà considerata migliorativa la soluzione di backup che prevede una fornitura aggiuntiva di spazio rispetto al requisito minimo (100 TB) fino ad un massimo di 250 TB. </t>
  </si>
  <si>
    <t>Sarà considerata migliorativa la soluzione di backup hardware costituita da un unico appliance.</t>
  </si>
  <si>
    <t>Sarà considerata migliorativa la soluzione di backup con hardware e software che condividano lo stesso protocollo in grado di inviare solo segmenti di dati univoci che verranno deduplicati rispetto ai dati di backup esistenti con conseguente aumento del throughput aggregato sui sistemi di storage nell'ottica di ottimizzazione del trasferimento efficiente dei dati via Ethernet o FC.</t>
  </si>
  <si>
    <t>Sarà considerata migliorativa la soluzione di backup con hardware che esegua il 99% dell'elaborazione di deduplica nella CPU e nella RAM (non sugli spindle), offrendo in tal modo prestazioni elevate anche con protocolli quali CIFS e NFS.</t>
  </si>
  <si>
    <t>Sarà considerata migliorativa la soluzione di backup con hardware in grado di effettuare una deduplica automatica dei dati di tipo "in-line" (quindi senza meccanismi di caching del dato) con algoritmo a dimensione del blocco variabile.</t>
  </si>
  <si>
    <t>Sarà considerata migliorativa la soluzione di backup con hardware dotato di una scheda fisica dedicata alla deduplica e compressione di tipo GZ.</t>
  </si>
  <si>
    <t>Sarà considerata migliorativa la soluzione di backup con hardware in grado di supportare la funzionalità intrinseca (indipendente dal software di backup utilizzato) di retention lock o similare. Questa funzionalità dovrà consentire di evitare che qualsiasi entità malevola cancelli e o modifichi il dato dal target di backup per tutta la durata della retention. La soluzione non dovrà avere limiti di durata del periodo di retention se non per spazio fisico nel target.</t>
  </si>
  <si>
    <t>Sarà considerata migliorativa la soluzione di backup con hardware che fornisca la funzionalità di tiering del dato lunga retention verso un Object Storage Cloud, oppure on-prem. La soluzione dovrà poter scrivere su tutti i seguenti Cloud: AWS, Google Cloud, Azure, Alibaba Cloud, IBM Cloud.</t>
  </si>
  <si>
    <t>Sarà considerata migliorativa la soluzione di backup che includa la fornitura di ulteriori software o funzionalità in grado di assicurare la Continuous Data Protection (CDP) per la replica e il ripristino rapido di macchine virtuali VMware a qualsiasi point-in-time.</t>
  </si>
  <si>
    <t>Sarà considerata migliorativa la soluzione di backup che includa la fornitura di ulteriori software o funzionalità che consentano di spostare i dati per una Long Term Retention sui principali cloud provider: AWS, Google Cloud, Azure, VMC (VMware Cloud), Alibaba Cloud, IBM Cloud.</t>
  </si>
  <si>
    <t>Sarà considerata migliorativa la soluzione di backup che includa la fornitura di ulteriori software o funzionalità di protezione degli ambienti: Microsoft Hyper-V, Nutanix, oVert, ProxMox, Citrix Hypervisor, Xen, XCP-NG, Openstack, Oracle VM, Oracle Linux VM, Redhat and KVM hypervisors.</t>
  </si>
  <si>
    <t>Sarà considerata migliorativa una soluzione formativa come da requisito "02-R-MIN-TNG-GEN"con una durata superiore a nr. 5 giornate fino ad un massimo di nr. 10 giornate.</t>
  </si>
  <si>
    <t>Sarà considerata migliorativa l'offerta di un percorso formativo di certificazione sulle soluzioni proposte per almeno nr. 3 operatori.</t>
  </si>
  <si>
    <t>Totale Punti:</t>
  </si>
  <si>
    <t>Metodo di attribuzione coefficiente:</t>
  </si>
  <si>
    <t>"Fomula Quadratica"</t>
  </si>
  <si>
    <t xml:space="preserve"> </t>
  </si>
  <si>
    <t>OFFERTA ECONOMICA</t>
  </si>
  <si>
    <t>BASE GARA SOGGETTO A RIBASSO</t>
  </si>
  <si>
    <r>
      <rPr>
        <rFont val="Calibri"/>
        <b/>
        <color theme="1"/>
        <sz val="11.0"/>
      </rPr>
      <t>A</t>
    </r>
    <r>
      <rPr>
        <rFont val="Calibri"/>
        <b/>
        <color theme="1"/>
        <sz val="11.0"/>
        <vertAlign val="subscript"/>
      </rPr>
      <t>i</t>
    </r>
  </si>
  <si>
    <r>
      <rPr>
        <rFont val="Calibri"/>
        <b/>
        <color theme="1"/>
        <sz val="11.0"/>
      </rPr>
      <t>A</t>
    </r>
    <r>
      <rPr>
        <rFont val="Calibri"/>
        <b/>
        <color theme="1"/>
        <sz val="11.0"/>
        <vertAlign val="subscript"/>
      </rPr>
      <t>max</t>
    </r>
  </si>
  <si>
    <t>α</t>
  </si>
  <si>
    <r>
      <rPr>
        <rFont val="Calibri"/>
        <b/>
        <color theme="1"/>
        <sz val="11.0"/>
      </rPr>
      <t>C</t>
    </r>
    <r>
      <rPr>
        <rFont val="Calibri"/>
        <b/>
        <color theme="1"/>
        <sz val="11.0"/>
        <vertAlign val="subscript"/>
      </rPr>
      <t>i</t>
    </r>
  </si>
  <si>
    <t>Punteggio</t>
  </si>
  <si>
    <t>BSistemi S.p.A.</t>
  </si>
  <si>
    <t>OFFERTA</t>
  </si>
  <si>
    <t>Punteggio Offerta Tecnica</t>
  </si>
  <si>
    <t>Punteggio Offerta Economica</t>
  </si>
  <si>
    <t xml:space="preserve">TOTALE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</si>
</sst>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_ ;\-#,##0.00\ "/>
    <numFmt numFmtId="165" formatCode="_-* #,##0.00\ [$€-410]_-;\-* #,##0.00\ [$€-410]_-;_-* &quot;-&quot;??\ [$€-410]_-;_-@"/>
  </numFmts>
  <fonts count="17">
    <font>
      <sz val="11.0"/>
      <color theme="1"/>
      <name val="Calibri"/>
      <scheme val="minor"/>
    </font>
    <font>
      <sz val="11.0"/>
      <color theme="1"/>
      <name val="Calibri"/>
    </font>
    <font>
      <b/>
      <sz val="11.0"/>
      <color theme="1"/>
      <name val="Calibri"/>
    </font>
    <font>
      <i/>
      <sz val="10.0"/>
      <color theme="1"/>
      <name val="Calibri"/>
    </font>
    <font>
      <sz val="10.0"/>
      <color theme="1"/>
      <name val="Calibri"/>
    </font>
    <font>
      <b/>
      <sz val="11.0"/>
      <color theme="0"/>
      <name val="Calibri"/>
    </font>
    <font/>
    <font>
      <sz val="9.0"/>
      <color rgb="FF000000"/>
      <name val="Calibri"/>
    </font>
    <font>
      <sz val="9.0"/>
      <color theme="1"/>
      <name val="Calibri"/>
    </font>
    <font>
      <i/>
      <sz val="11.0"/>
      <color theme="1"/>
      <name val="Calibri"/>
    </font>
    <font>
      <u/>
      <sz val="11.0"/>
      <color theme="1"/>
      <name val="Calibri"/>
    </font>
    <font>
      <b/>
      <i/>
      <sz val="9.0"/>
      <color theme="1"/>
      <name val="Calibri"/>
    </font>
    <font>
      <b/>
      <sz val="10.0"/>
      <color theme="1"/>
      <name val="Calibri"/>
    </font>
    <font>
      <b/>
      <sz val="9.0"/>
      <color theme="1"/>
      <name val="Calibri"/>
    </font>
    <font>
      <sz val="11.0"/>
      <color theme="0"/>
      <name val="Calibri"/>
    </font>
    <font>
      <b/>
      <i/>
      <sz val="11.0"/>
      <color theme="1"/>
      <name val="Calibri"/>
    </font>
    <font>
      <sz val="9.0"/>
      <color rgb="FFFF0000"/>
      <name val="Titillium"/>
    </font>
  </fonts>
  <fills count="9">
    <fill>
      <patternFill patternType="none"/>
    </fill>
    <fill>
      <patternFill patternType="lightGray"/>
    </fill>
    <fill>
      <patternFill patternType="solid">
        <fgColor rgb="FFD8D8D8"/>
        <bgColor rgb="FFD8D8D8"/>
      </patternFill>
    </fill>
    <fill>
      <patternFill patternType="solid">
        <fgColor rgb="FF7F7F7F"/>
        <bgColor rgb="FF7F7F7F"/>
      </patternFill>
    </fill>
    <fill>
      <patternFill patternType="solid">
        <fgColor rgb="FFF2F2F2"/>
        <bgColor rgb="FFF2F2F2"/>
      </patternFill>
    </fill>
    <fill>
      <patternFill patternType="solid">
        <fgColor rgb="FFA8D08D"/>
        <bgColor rgb="FFA8D08D"/>
      </patternFill>
    </fill>
    <fill>
      <patternFill patternType="solid">
        <fgColor rgb="FFE2EFD9"/>
        <bgColor rgb="FFE2EFD9"/>
      </patternFill>
    </fill>
    <fill>
      <patternFill patternType="solid">
        <fgColor rgb="FFFFFF00"/>
        <bgColor rgb="FFFFFF00"/>
      </patternFill>
    </fill>
    <fill>
      <patternFill patternType="solid">
        <fgColor rgb="FFBFBFBF"/>
        <bgColor rgb="FFBFBFBF"/>
      </patternFill>
    </fill>
  </fills>
  <borders count="2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thin">
        <color rgb="FF000000"/>
      </top>
    </border>
    <border>
      <left/>
      <right/>
      <top style="thin">
        <color rgb="FF000000"/>
      </top>
      <bottom style="thin">
        <color rgb="FF000000"/>
      </bottom>
    </border>
    <border>
      <left/>
      <right/>
      <top/>
      <bottom/>
    </border>
    <border>
      <left style="thin">
        <color rgb="FF000000"/>
      </left>
    </border>
    <border>
      <left style="thin">
        <color rgb="FF000000"/>
      </left>
      <bottom style="thin">
        <color rgb="FF000000"/>
      </bottom>
    </border>
    <border>
      <left style="thin">
        <color rgb="FF000000"/>
      </left>
      <right/>
      <top/>
      <bottom style="thin">
        <color rgb="FF000000"/>
      </bottom>
    </border>
    <border>
      <left/>
      <right/>
      <top style="thin">
        <color rgb="FF000000"/>
      </top>
      <bottom/>
    </border>
    <border>
      <bottom style="thin">
        <color rgb="FF000000"/>
      </bottom>
    </border>
  </borders>
  <cellStyleXfs count="1">
    <xf borderId="0" fillId="0" fontId="0" numFmtId="0" applyAlignment="1" applyFont="1"/>
  </cellStyleXfs>
  <cellXfs count="115">
    <xf borderId="0" fillId="0" fontId="0" numFmtId="0" xfId="0" applyAlignment="1" applyFont="1">
      <alignment readingOrder="0" shrinkToFit="0" vertical="bottom" wrapText="0"/>
    </xf>
    <xf borderId="0" fillId="0" fontId="1" numFmtId="0" xfId="0" applyAlignment="1" applyFont="1">
      <alignment vertical="center"/>
    </xf>
    <xf borderId="1" fillId="2" fontId="2" numFmtId="0" xfId="0" applyAlignment="1" applyBorder="1" applyFill="1" applyFont="1">
      <alignment horizontal="center" vertical="center"/>
    </xf>
    <xf borderId="1" fillId="0" fontId="3" numFmtId="0" xfId="0" applyAlignment="1" applyBorder="1" applyFont="1">
      <alignment horizontal="center" vertical="center"/>
    </xf>
    <xf borderId="1" fillId="0" fontId="4" numFmtId="0" xfId="0" applyAlignment="1" applyBorder="1" applyFont="1">
      <alignment horizontal="center" vertical="center"/>
    </xf>
    <xf borderId="0" fillId="0" fontId="1" numFmtId="0" xfId="0" applyAlignment="1" applyFont="1">
      <alignment horizontal="left" vertical="center"/>
    </xf>
    <xf borderId="1" fillId="2" fontId="2" numFmtId="0" xfId="0" applyAlignment="1" applyBorder="1" applyFont="1">
      <alignment horizontal="left" shrinkToFit="0" vertical="center" wrapText="1"/>
    </xf>
    <xf borderId="2" fillId="3" fontId="5" numFmtId="0" xfId="0" applyAlignment="1" applyBorder="1" applyFill="1" applyFont="1">
      <alignment vertical="center"/>
    </xf>
    <xf borderId="3" fillId="0" fontId="6" numFmtId="0" xfId="0" applyBorder="1" applyFont="1"/>
    <xf borderId="4" fillId="0" fontId="6" numFmtId="0" xfId="0" applyBorder="1" applyFont="1"/>
    <xf borderId="5" fillId="0" fontId="7" numFmtId="0" xfId="0" applyAlignment="1" applyBorder="1" applyFont="1">
      <alignment horizontal="center" shrinkToFit="0" vertical="center" wrapText="1"/>
    </xf>
    <xf borderId="6" fillId="0" fontId="7" numFmtId="0" xfId="0" applyAlignment="1" applyBorder="1" applyFont="1">
      <alignment horizontal="left" shrinkToFit="0" vertical="center" wrapText="1"/>
    </xf>
    <xf borderId="7" fillId="0" fontId="7"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1" fillId="0" fontId="8" numFmtId="0" xfId="0" applyAlignment="1" applyBorder="1" applyFont="1">
      <alignment horizontal="left" vertical="center"/>
    </xf>
    <xf borderId="2" fillId="3" fontId="5" numFmtId="0" xfId="0" applyAlignment="1" applyBorder="1" applyFont="1">
      <alignment horizontal="left" vertical="center"/>
    </xf>
    <xf borderId="8" fillId="2" fontId="1" numFmtId="0" xfId="0" applyAlignment="1" applyBorder="1" applyFont="1">
      <alignment horizontal="left" vertical="center"/>
    </xf>
    <xf borderId="7" fillId="0" fontId="8" numFmtId="0" xfId="0" applyAlignment="1" applyBorder="1" applyFont="1">
      <alignment horizontal="left" vertical="center"/>
    </xf>
    <xf borderId="1" fillId="0" fontId="8" numFmtId="0" xfId="0" applyAlignment="1" applyBorder="1" applyFont="1">
      <alignment horizontal="left" shrinkToFit="0" vertical="center" wrapText="1"/>
    </xf>
    <xf borderId="0" fillId="0" fontId="9" numFmtId="0" xfId="0" applyAlignment="1" applyFont="1">
      <alignment horizontal="left" vertical="center"/>
    </xf>
    <xf borderId="0" fillId="0" fontId="7" numFmtId="0" xfId="0" applyAlignment="1" applyFont="1">
      <alignment horizontal="center" shrinkToFit="0" vertical="center" wrapText="1"/>
    </xf>
    <xf borderId="1" fillId="2" fontId="1" numFmtId="0" xfId="0" applyAlignment="1" applyBorder="1" applyFont="1">
      <alignment horizontal="left" vertical="center"/>
    </xf>
    <xf borderId="1" fillId="2" fontId="2" numFmtId="0" xfId="0" applyAlignment="1" applyBorder="1" applyFont="1">
      <alignment horizontal="left" vertical="center"/>
    </xf>
    <xf borderId="9" fillId="0" fontId="7" numFmtId="0" xfId="0" applyAlignment="1" applyBorder="1" applyFont="1">
      <alignment horizontal="center" shrinkToFit="0" vertical="center" wrapText="1"/>
    </xf>
    <xf borderId="9" fillId="0" fontId="8" numFmtId="0" xfId="0" applyAlignment="1" applyBorder="1" applyFont="1">
      <alignment horizontal="left" shrinkToFit="0" vertical="center" wrapText="1"/>
    </xf>
    <xf borderId="5" fillId="0" fontId="6" numFmtId="0" xfId="0" applyBorder="1" applyFont="1"/>
    <xf borderId="10" fillId="0" fontId="6" numFmtId="0" xfId="0" applyBorder="1" applyFont="1"/>
    <xf borderId="0" fillId="0" fontId="1" numFmtId="16" xfId="0" applyAlignment="1" applyFont="1" applyNumberFormat="1">
      <alignment horizontal="left" vertical="center"/>
    </xf>
    <xf borderId="10" fillId="0" fontId="8" numFmtId="0" xfId="0" applyAlignment="1" applyBorder="1" applyFont="1">
      <alignment horizontal="left" shrinkToFit="0" vertical="center" wrapText="1"/>
    </xf>
    <xf borderId="7" fillId="0" fontId="6" numFmtId="0" xfId="0" applyBorder="1" applyFont="1"/>
    <xf borderId="7" fillId="0" fontId="8" numFmtId="0" xfId="0" applyAlignment="1" applyBorder="1" applyFont="1">
      <alignment horizontal="left" shrinkToFit="0" vertical="center" wrapText="1"/>
    </xf>
    <xf borderId="0" fillId="0" fontId="10" numFmtId="0" xfId="0" applyFont="1"/>
    <xf borderId="0" fillId="0" fontId="9" numFmtId="0" xfId="0" applyFont="1"/>
    <xf borderId="11" fillId="4" fontId="2" numFmtId="0" xfId="0" applyAlignment="1" applyBorder="1" applyFill="1" applyFont="1">
      <alignment horizontal="center" shrinkToFit="0" vertical="center" wrapText="1"/>
    </xf>
    <xf borderId="12" fillId="4" fontId="2" numFmtId="0" xfId="0" applyAlignment="1" applyBorder="1" applyFont="1">
      <alignment horizontal="center" shrinkToFit="0" vertical="center" wrapText="1"/>
    </xf>
    <xf borderId="13" fillId="4" fontId="2" numFmtId="0" xfId="0" applyAlignment="1" applyBorder="1" applyFont="1">
      <alignment horizontal="center" shrinkToFit="0" vertical="center" wrapText="1"/>
    </xf>
    <xf borderId="14" fillId="0" fontId="4" numFmtId="0" xfId="0" applyAlignment="1" applyBorder="1" applyFont="1">
      <alignment horizontal="left" shrinkToFit="0" vertical="center" wrapText="1"/>
    </xf>
    <xf borderId="7" fillId="0" fontId="8" numFmtId="2" xfId="0" applyAlignment="1" applyBorder="1" applyFont="1" applyNumberFormat="1">
      <alignment horizontal="center" shrinkToFit="0" vertical="center" wrapText="1"/>
    </xf>
    <xf borderId="15" fillId="0" fontId="8" numFmtId="0" xfId="0" applyAlignment="1" applyBorder="1" applyFont="1">
      <alignment horizontal="left" shrinkToFit="0" vertical="center" wrapText="1"/>
    </xf>
    <xf borderId="16" fillId="0" fontId="4" numFmtId="0" xfId="0" applyAlignment="1" applyBorder="1" applyFont="1">
      <alignment horizontal="left" shrinkToFit="0" vertical="center" wrapText="1"/>
    </xf>
    <xf borderId="1" fillId="0" fontId="8" numFmtId="0" xfId="0" applyAlignment="1" applyBorder="1" applyFont="1">
      <alignment horizontal="center" shrinkToFit="0" vertical="center" wrapText="1"/>
    </xf>
    <xf borderId="17" fillId="0" fontId="8" numFmtId="0" xfId="0" applyAlignment="1" applyBorder="1" applyFont="1">
      <alignment horizontal="left" shrinkToFit="0" vertical="center" wrapText="1"/>
    </xf>
    <xf borderId="1" fillId="0" fontId="8" numFmtId="2" xfId="0" applyAlignment="1" applyBorder="1" applyFont="1" applyNumberFormat="1">
      <alignment horizontal="center" shrinkToFit="0" vertical="center" wrapText="1"/>
    </xf>
    <xf borderId="18" fillId="0" fontId="4" numFmtId="0" xfId="0" applyAlignment="1" applyBorder="1" applyFont="1">
      <alignment horizontal="left" shrinkToFit="0" vertical="center" wrapText="1"/>
    </xf>
    <xf borderId="19" fillId="0" fontId="8" numFmtId="2" xfId="0" applyAlignment="1" applyBorder="1" applyFont="1" applyNumberFormat="1">
      <alignment horizontal="center" shrinkToFit="0" vertical="center" wrapText="1"/>
    </xf>
    <xf borderId="20" fillId="0" fontId="8" numFmtId="0" xfId="0" applyAlignment="1" applyBorder="1" applyFont="1">
      <alignment horizontal="left" shrinkToFit="0" vertical="center" wrapText="1"/>
    </xf>
    <xf borderId="2" fillId="0" fontId="11" numFmtId="0" xfId="0" applyAlignment="1" applyBorder="1" applyFont="1">
      <alignment horizontal="center" vertical="center"/>
    </xf>
    <xf borderId="1" fillId="0" fontId="11" numFmtId="0" xfId="0" applyAlignment="1" applyBorder="1" applyFont="1">
      <alignment horizontal="center" vertical="center"/>
    </xf>
    <xf borderId="1" fillId="5" fontId="12" numFmtId="0" xfId="0" applyAlignment="1" applyBorder="1" applyFill="1" applyFont="1">
      <alignment horizontal="center" vertical="center"/>
    </xf>
    <xf borderId="1" fillId="5" fontId="12" numFmtId="0" xfId="0" applyAlignment="1" applyBorder="1" applyFont="1">
      <alignment horizontal="center" shrinkToFit="0" vertical="center" wrapText="1"/>
    </xf>
    <xf borderId="0" fillId="0" fontId="8" numFmtId="0" xfId="0" applyAlignment="1" applyFont="1">
      <alignment vertical="center"/>
    </xf>
    <xf borderId="1" fillId="0" fontId="8" numFmtId="0" xfId="0" applyAlignment="1" applyBorder="1" applyFont="1">
      <alignment horizontal="center" vertical="center"/>
    </xf>
    <xf borderId="1" fillId="0" fontId="8" numFmtId="164" xfId="0" applyAlignment="1" applyBorder="1" applyFont="1" applyNumberFormat="1">
      <alignment horizontal="center" vertical="center"/>
    </xf>
    <xf borderId="1" fillId="6" fontId="13" numFmtId="2" xfId="0" applyAlignment="1" applyBorder="1" applyFill="1" applyFont="1" applyNumberFormat="1">
      <alignment horizontal="center" vertical="center"/>
    </xf>
    <xf borderId="0" fillId="0" fontId="1" numFmtId="0" xfId="0" applyFont="1"/>
    <xf borderId="9" fillId="0" fontId="2" numFmtId="0" xfId="0" applyAlignment="1" applyBorder="1" applyFont="1">
      <alignment horizontal="center" shrinkToFit="0" vertical="center" wrapText="1"/>
    </xf>
    <xf borderId="21" fillId="0" fontId="2" numFmtId="0" xfId="0" applyAlignment="1" applyBorder="1" applyFont="1">
      <alignment horizontal="center" shrinkToFit="0" vertical="center" wrapText="1"/>
    </xf>
    <xf borderId="22" fillId="3" fontId="5" numFmtId="0" xfId="0" applyAlignment="1" applyBorder="1" applyFont="1">
      <alignment vertical="center"/>
    </xf>
    <xf borderId="23" fillId="3" fontId="1" numFmtId="0" xfId="0" applyAlignment="1" applyBorder="1" applyFont="1">
      <alignment vertical="center"/>
    </xf>
    <xf borderId="1" fillId="3" fontId="1" numFmtId="0" xfId="0" applyAlignment="1" applyBorder="1" applyFont="1">
      <alignment horizontal="center" vertical="center"/>
    </xf>
    <xf borderId="10" fillId="0" fontId="7" numFmtId="0" xfId="0" applyAlignment="1" applyBorder="1" applyFont="1">
      <alignment horizontal="left" shrinkToFit="0" vertical="center" wrapText="1"/>
    </xf>
    <xf borderId="10" fillId="0" fontId="8" numFmtId="0" xfId="0" applyAlignment="1" applyBorder="1" applyFont="1">
      <alignment horizontal="center" vertical="center"/>
    </xf>
    <xf borderId="24" fillId="0" fontId="8" numFmtId="0" xfId="0" applyAlignment="1" applyBorder="1" applyFont="1">
      <alignment horizontal="center" vertical="center"/>
    </xf>
    <xf borderId="10" fillId="0" fontId="13" numFmtId="2" xfId="0" applyAlignment="1" applyBorder="1" applyFont="1" applyNumberFormat="1">
      <alignment horizontal="center" vertical="center"/>
    </xf>
    <xf borderId="1" fillId="0" fontId="13" numFmtId="2" xfId="0" applyAlignment="1" applyBorder="1" applyFont="1" applyNumberFormat="1">
      <alignment horizontal="center" vertical="center"/>
    </xf>
    <xf borderId="2" fillId="0" fontId="13" numFmtId="2" xfId="0" applyAlignment="1" applyBorder="1" applyFont="1" applyNumberFormat="1">
      <alignment horizontal="center" vertical="center"/>
    </xf>
    <xf borderId="1" fillId="0" fontId="2" numFmtId="0" xfId="0" applyAlignment="1" applyBorder="1" applyFont="1">
      <alignment horizontal="center" vertical="center"/>
    </xf>
    <xf borderId="7" fillId="0" fontId="7" numFmtId="0" xfId="0" applyAlignment="1" applyBorder="1" applyFont="1">
      <alignment shrinkToFit="0" vertical="center" wrapText="1"/>
    </xf>
    <xf borderId="7" fillId="0" fontId="7" numFmtId="0" xfId="0" applyAlignment="1" applyBorder="1" applyFont="1">
      <alignment horizontal="center" shrinkToFit="0" vertical="center" wrapText="1"/>
    </xf>
    <xf borderId="7" fillId="0" fontId="8" numFmtId="0" xfId="0" applyAlignment="1" applyBorder="1" applyFont="1">
      <alignment horizontal="center" vertical="center"/>
    </xf>
    <xf borderId="25" fillId="0" fontId="8" numFmtId="0" xfId="0" applyAlignment="1" applyBorder="1" applyFont="1">
      <alignment horizontal="center" vertical="center"/>
    </xf>
    <xf borderId="26" fillId="7" fontId="8" numFmtId="0" xfId="0" applyAlignment="1" applyBorder="1" applyFill="1" applyFont="1">
      <alignment horizontal="center" vertical="center"/>
    </xf>
    <xf borderId="7" fillId="0" fontId="13" numFmtId="0" xfId="0" applyAlignment="1" applyBorder="1" applyFont="1">
      <alignment horizontal="center" vertical="center"/>
    </xf>
    <xf borderId="1" fillId="0" fontId="7" numFmtId="0" xfId="0" applyAlignment="1" applyBorder="1" applyFont="1">
      <alignment shrinkToFit="0" vertical="center" wrapText="1"/>
    </xf>
    <xf borderId="1" fillId="0" fontId="7" numFmtId="0" xfId="0" applyAlignment="1" applyBorder="1" applyFont="1">
      <alignment horizontal="center" shrinkToFit="0" vertical="center" wrapText="1"/>
    </xf>
    <xf borderId="2" fillId="0" fontId="8" numFmtId="0" xfId="0" applyAlignment="1" applyBorder="1" applyFont="1">
      <alignment horizontal="center" vertical="center"/>
    </xf>
    <xf borderId="8" fillId="7" fontId="8" numFmtId="0" xfId="0" applyAlignment="1" applyBorder="1" applyFont="1">
      <alignment horizontal="center" vertical="center"/>
    </xf>
    <xf borderId="2" fillId="0" fontId="13" numFmtId="0" xfId="0" applyAlignment="1" applyBorder="1" applyFont="1">
      <alignment horizontal="center" vertical="center"/>
    </xf>
    <xf borderId="1" fillId="0" fontId="13" numFmtId="0" xfId="0" applyAlignment="1" applyBorder="1" applyFont="1">
      <alignment horizontal="center" vertical="center"/>
    </xf>
    <xf borderId="9" fillId="0" fontId="7" numFmtId="0" xfId="0" applyAlignment="1" applyBorder="1" applyFont="1">
      <alignment horizontal="left" shrinkToFit="0" vertical="center" wrapText="1"/>
    </xf>
    <xf borderId="9" fillId="0" fontId="8" numFmtId="0" xfId="0" applyAlignment="1" applyBorder="1" applyFont="1">
      <alignment horizontal="center" shrinkToFit="0" vertical="center" wrapText="1"/>
    </xf>
    <xf borderId="9" fillId="0" fontId="8" numFmtId="0" xfId="0" applyAlignment="1" applyBorder="1" applyFont="1">
      <alignment horizontal="center" vertical="center"/>
    </xf>
    <xf borderId="21" fillId="0" fontId="8" numFmtId="0" xfId="0" applyAlignment="1" applyBorder="1" applyFont="1">
      <alignment horizontal="center" vertical="center"/>
    </xf>
    <xf borderId="25" fillId="0" fontId="6" numFmtId="0" xfId="0" applyBorder="1" applyFont="1"/>
    <xf borderId="27" fillId="3" fontId="5" numFmtId="0" xfId="0" applyAlignment="1" applyBorder="1" applyFont="1">
      <alignment vertical="center"/>
    </xf>
    <xf borderId="8" fillId="3" fontId="5" numFmtId="0" xfId="0" applyAlignment="1" applyBorder="1" applyFont="1">
      <alignment vertical="center"/>
    </xf>
    <xf borderId="1" fillId="3" fontId="5" numFmtId="0" xfId="0" applyAlignment="1" applyBorder="1" applyFont="1">
      <alignment vertical="center"/>
    </xf>
    <xf borderId="1" fillId="8" fontId="2" numFmtId="0" xfId="0" applyAlignment="1" applyBorder="1" applyFill="1" applyFont="1">
      <alignment horizontal="left" vertical="center"/>
    </xf>
    <xf borderId="22" fillId="8" fontId="2" numFmtId="0" xfId="0" applyAlignment="1" applyBorder="1" applyFont="1">
      <alignment vertical="center"/>
    </xf>
    <xf borderId="8" fillId="8" fontId="2" numFmtId="0" xfId="0" applyAlignment="1" applyBorder="1" applyFont="1">
      <alignment vertical="center"/>
    </xf>
    <xf borderId="1" fillId="8" fontId="2" numFmtId="0" xfId="0" applyAlignment="1" applyBorder="1" applyFont="1">
      <alignment vertical="center"/>
    </xf>
    <xf borderId="1" fillId="8" fontId="2" numFmtId="0" xfId="0" applyAlignment="1" applyBorder="1" applyFont="1">
      <alignment horizontal="center" vertical="center"/>
    </xf>
    <xf borderId="1" fillId="8" fontId="1" numFmtId="0" xfId="0" applyAlignment="1" applyBorder="1" applyFont="1">
      <alignment horizontal="center" vertical="center"/>
    </xf>
    <xf borderId="1" fillId="0" fontId="5" numFmtId="0" xfId="0" applyAlignment="1" applyBorder="1" applyFont="1">
      <alignment vertical="center"/>
    </xf>
    <xf borderId="2" fillId="0" fontId="5" numFmtId="0" xfId="0" applyAlignment="1" applyBorder="1" applyFont="1">
      <alignment vertical="center"/>
    </xf>
    <xf borderId="1" fillId="3" fontId="5" numFmtId="0" xfId="0" applyAlignment="1" applyBorder="1" applyFont="1">
      <alignment horizontal="center" vertical="center"/>
    </xf>
    <xf borderId="1" fillId="8" fontId="1" numFmtId="0" xfId="0" applyAlignment="1" applyBorder="1" applyFont="1">
      <alignment horizontal="left" vertical="center"/>
    </xf>
    <xf borderId="8" fillId="8" fontId="2" numFmtId="0" xfId="0" applyAlignment="1" applyBorder="1" applyFont="1">
      <alignment horizontal="left" vertical="center"/>
    </xf>
    <xf borderId="1" fillId="0" fontId="1" numFmtId="0" xfId="0" applyAlignment="1" applyBorder="1" applyFont="1">
      <alignment vertical="center"/>
    </xf>
    <xf borderId="1" fillId="3" fontId="14" numFmtId="0" xfId="0" applyAlignment="1" applyBorder="1" applyFont="1">
      <alignment horizontal="center" vertical="center"/>
    </xf>
    <xf borderId="0" fillId="0" fontId="1" numFmtId="0" xfId="0" applyAlignment="1" applyFont="1">
      <alignment horizontal="center" vertical="center"/>
    </xf>
    <xf borderId="0" fillId="0" fontId="1" numFmtId="2" xfId="0" applyAlignment="1" applyFont="1" applyNumberFormat="1">
      <alignment vertical="center"/>
    </xf>
    <xf borderId="28" fillId="0" fontId="15" numFmtId="0" xfId="0" applyAlignment="1" applyBorder="1" applyFont="1">
      <alignment horizontal="right" vertical="center"/>
    </xf>
    <xf borderId="28" fillId="0" fontId="1" numFmtId="0" xfId="0" applyAlignment="1" applyBorder="1" applyFont="1">
      <alignment vertical="center"/>
    </xf>
    <xf borderId="7" fillId="0" fontId="2" numFmtId="0" xfId="0" applyAlignment="1" applyBorder="1" applyFont="1">
      <alignment horizontal="center" vertical="center"/>
    </xf>
    <xf borderId="0" fillId="0" fontId="15" numFmtId="0" xfId="0" applyFont="1"/>
    <xf borderId="0" fillId="0" fontId="16" numFmtId="0" xfId="0" applyFont="1"/>
    <xf borderId="0" fillId="0" fontId="16" numFmtId="0" xfId="0" applyAlignment="1" applyFont="1">
      <alignment horizontal="left" vertical="center"/>
    </xf>
    <xf borderId="1" fillId="5" fontId="2" numFmtId="0" xfId="0" applyAlignment="1" applyBorder="1" applyFont="1">
      <alignment horizontal="center" vertical="center"/>
    </xf>
    <xf borderId="1" fillId="5" fontId="2" numFmtId="0" xfId="0" applyAlignment="1" applyBorder="1" applyFont="1">
      <alignment horizontal="center" readingOrder="0" shrinkToFit="0" vertical="center" wrapText="1"/>
    </xf>
    <xf borderId="1" fillId="0" fontId="8" numFmtId="165" xfId="0" applyAlignment="1" applyBorder="1" applyFont="1" applyNumberFormat="1">
      <alignment horizontal="center" vertical="center"/>
    </xf>
    <xf borderId="1" fillId="0" fontId="8" numFmtId="10" xfId="0" applyAlignment="1" applyBorder="1" applyFont="1" applyNumberFormat="1">
      <alignment horizontal="center" vertical="center"/>
    </xf>
    <xf borderId="1" fillId="0" fontId="1" numFmtId="2" xfId="0" applyAlignment="1" applyBorder="1" applyFont="1" applyNumberFormat="1">
      <alignment horizontal="center" vertical="center"/>
    </xf>
    <xf borderId="1" fillId="0" fontId="2" numFmtId="0" xfId="0" applyAlignment="1" applyBorder="1" applyFont="1">
      <alignment horizontal="center" shrinkToFit="0" vertical="center" wrapText="1"/>
    </xf>
    <xf borderId="1" fillId="0" fontId="4" numFmtId="2"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4</xdr:row>
      <xdr:rowOff>152400</xdr:rowOff>
    </xdr:from>
    <xdr:ext cx="4305300" cy="1800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28.29"/>
    <col customWidth="1" min="3" max="3" width="29.57"/>
    <col customWidth="1" min="4" max="26" width="8.86"/>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1"/>
      <c r="B3" s="2" t="s">
        <v>0</v>
      </c>
      <c r="C3" s="2" t="s">
        <v>1</v>
      </c>
      <c r="D3" s="1"/>
      <c r="E3" s="1"/>
      <c r="F3" s="1"/>
      <c r="G3" s="1"/>
      <c r="H3" s="1"/>
      <c r="I3" s="1"/>
      <c r="J3" s="1"/>
      <c r="K3" s="1"/>
      <c r="L3" s="1"/>
      <c r="M3" s="1"/>
      <c r="N3" s="1"/>
      <c r="O3" s="1"/>
      <c r="P3" s="1"/>
      <c r="Q3" s="1"/>
      <c r="R3" s="1"/>
      <c r="S3" s="1"/>
      <c r="T3" s="1"/>
      <c r="U3" s="1"/>
      <c r="V3" s="1"/>
      <c r="W3" s="1"/>
      <c r="X3" s="1"/>
      <c r="Y3" s="1"/>
      <c r="Z3" s="1"/>
    </row>
    <row r="4">
      <c r="A4" s="1"/>
      <c r="B4" s="3" t="s">
        <v>2</v>
      </c>
      <c r="C4" s="4">
        <v>90.0</v>
      </c>
      <c r="D4" s="1"/>
      <c r="E4" s="1"/>
      <c r="F4" s="1"/>
      <c r="G4" s="1"/>
      <c r="H4" s="1"/>
      <c r="I4" s="1"/>
      <c r="J4" s="1"/>
      <c r="K4" s="1"/>
      <c r="L4" s="1"/>
      <c r="M4" s="1"/>
      <c r="N4" s="1"/>
      <c r="O4" s="1"/>
      <c r="P4" s="1"/>
      <c r="Q4" s="1"/>
      <c r="R4" s="1"/>
      <c r="S4" s="1"/>
      <c r="T4" s="1"/>
      <c r="U4" s="1"/>
      <c r="V4" s="1"/>
      <c r="W4" s="1"/>
      <c r="X4" s="1"/>
      <c r="Y4" s="1"/>
      <c r="Z4" s="1"/>
    </row>
    <row r="5">
      <c r="A5" s="1"/>
      <c r="B5" s="3" t="s">
        <v>3</v>
      </c>
      <c r="C5" s="4">
        <v>10.0</v>
      </c>
      <c r="D5" s="1"/>
      <c r="E5" s="1"/>
      <c r="F5" s="1"/>
      <c r="G5" s="1"/>
      <c r="H5" s="1"/>
      <c r="I5" s="1"/>
      <c r="J5" s="1"/>
      <c r="K5" s="1"/>
      <c r="L5" s="1"/>
      <c r="M5" s="1"/>
      <c r="N5" s="1"/>
      <c r="O5" s="1"/>
      <c r="P5" s="1"/>
      <c r="Q5" s="1"/>
      <c r="R5" s="1"/>
      <c r="S5" s="1"/>
      <c r="T5" s="1"/>
      <c r="U5" s="1"/>
      <c r="V5" s="1"/>
      <c r="W5" s="1"/>
      <c r="X5" s="1"/>
      <c r="Y5" s="1"/>
      <c r="Z5" s="1"/>
    </row>
    <row r="6">
      <c r="A6" s="1"/>
      <c r="B6" s="2" t="s">
        <v>4</v>
      </c>
      <c r="C6" s="2">
        <f>SUM(C4:C5)</f>
        <v>100</v>
      </c>
      <c r="D6" s="1"/>
      <c r="E6" s="1"/>
      <c r="F6" s="1"/>
      <c r="G6" s="1"/>
      <c r="H6" s="1"/>
      <c r="I6" s="1"/>
      <c r="J6" s="1"/>
      <c r="K6" s="1"/>
      <c r="L6" s="1"/>
      <c r="M6" s="1"/>
      <c r="N6" s="1"/>
      <c r="O6" s="1"/>
      <c r="P6" s="1"/>
      <c r="Q6" s="1"/>
      <c r="R6" s="1"/>
      <c r="S6" s="1"/>
      <c r="T6" s="1"/>
      <c r="U6" s="1"/>
      <c r="V6" s="1"/>
      <c r="W6" s="1"/>
      <c r="X6" s="1"/>
      <c r="Y6" s="1"/>
      <c r="Z6" s="1"/>
    </row>
    <row r="7">
      <c r="A7" s="1"/>
      <c r="B7" s="1"/>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43"/>
    <col customWidth="1" min="2" max="2" width="19.57"/>
    <col customWidth="1" min="3" max="3" width="47.14"/>
    <col customWidth="1" min="4" max="4" width="15.86"/>
    <col customWidth="1" min="5" max="5" width="47.14"/>
    <col customWidth="1" min="6" max="6" width="18.43"/>
    <col customWidth="1" min="7" max="7" width="21.71"/>
    <col customWidth="1" min="8" max="26" width="9.14"/>
  </cols>
  <sheetData>
    <row r="1" ht="29.25" customHeight="1">
      <c r="A1" s="5"/>
      <c r="B1" s="6" t="s">
        <v>5</v>
      </c>
      <c r="C1" s="6" t="s">
        <v>6</v>
      </c>
      <c r="D1" s="6" t="s">
        <v>7</v>
      </c>
      <c r="E1" s="6" t="s">
        <v>8</v>
      </c>
      <c r="F1" s="6" t="s">
        <v>9</v>
      </c>
      <c r="G1" s="5"/>
      <c r="H1" s="5"/>
      <c r="I1" s="5"/>
      <c r="J1" s="5"/>
      <c r="K1" s="5"/>
      <c r="L1" s="5"/>
      <c r="M1" s="5"/>
      <c r="N1" s="5"/>
      <c r="O1" s="5"/>
      <c r="P1" s="5"/>
      <c r="Q1" s="5"/>
      <c r="R1" s="5"/>
      <c r="S1" s="5"/>
      <c r="T1" s="5"/>
      <c r="U1" s="5"/>
      <c r="V1" s="5"/>
      <c r="W1" s="5"/>
      <c r="X1" s="5"/>
      <c r="Y1" s="5"/>
      <c r="Z1" s="5"/>
    </row>
    <row r="2">
      <c r="A2" s="5"/>
      <c r="B2" s="7" t="s">
        <v>10</v>
      </c>
      <c r="C2" s="8"/>
      <c r="D2" s="8"/>
      <c r="E2" s="8"/>
      <c r="F2" s="9"/>
      <c r="G2" s="5"/>
      <c r="H2" s="5"/>
      <c r="I2" s="5"/>
      <c r="J2" s="5"/>
      <c r="K2" s="5"/>
      <c r="L2" s="5"/>
      <c r="M2" s="5"/>
      <c r="N2" s="5"/>
      <c r="O2" s="5"/>
      <c r="P2" s="5"/>
      <c r="Q2" s="5"/>
      <c r="R2" s="5"/>
      <c r="S2" s="5"/>
      <c r="T2" s="5"/>
      <c r="U2" s="5"/>
      <c r="V2" s="5"/>
      <c r="W2" s="5"/>
      <c r="X2" s="5"/>
      <c r="Y2" s="5"/>
      <c r="Z2" s="5"/>
    </row>
    <row r="3">
      <c r="A3" s="10">
        <f>0+1</f>
        <v>1</v>
      </c>
      <c r="B3" s="11" t="str">
        <f>CONCATENATE("0",A3,"-R-MIN-CED-GEN")</f>
        <v>01-R-MIN-CED-GEN</v>
      </c>
      <c r="C3" s="12" t="s">
        <v>11</v>
      </c>
      <c r="D3" s="13" t="s">
        <v>12</v>
      </c>
      <c r="E3" s="13" t="s">
        <v>12</v>
      </c>
      <c r="F3" s="14"/>
      <c r="G3" s="5"/>
      <c r="H3" s="5"/>
      <c r="I3" s="5"/>
      <c r="J3" s="5"/>
      <c r="K3" s="5"/>
      <c r="L3" s="5"/>
      <c r="M3" s="5"/>
      <c r="N3" s="5"/>
      <c r="O3" s="5"/>
      <c r="P3" s="5"/>
      <c r="Q3" s="5"/>
      <c r="R3" s="5"/>
      <c r="S3" s="5"/>
      <c r="T3" s="5"/>
      <c r="U3" s="5"/>
      <c r="V3" s="5"/>
      <c r="W3" s="5"/>
      <c r="X3" s="5"/>
      <c r="Y3" s="5"/>
      <c r="Z3" s="5"/>
    </row>
    <row r="4">
      <c r="A4" s="5"/>
      <c r="B4" s="15" t="s">
        <v>13</v>
      </c>
      <c r="C4" s="8"/>
      <c r="D4" s="8"/>
      <c r="E4" s="8"/>
      <c r="F4" s="9"/>
      <c r="G4" s="5"/>
      <c r="H4" s="5"/>
      <c r="I4" s="5"/>
      <c r="J4" s="5"/>
      <c r="K4" s="5"/>
      <c r="L4" s="5"/>
      <c r="M4" s="5"/>
      <c r="N4" s="5"/>
      <c r="O4" s="5"/>
      <c r="P4" s="5"/>
      <c r="Q4" s="5"/>
      <c r="R4" s="5"/>
      <c r="S4" s="5"/>
      <c r="T4" s="5"/>
      <c r="U4" s="5"/>
      <c r="V4" s="5"/>
      <c r="W4" s="5"/>
      <c r="X4" s="5"/>
      <c r="Y4" s="5"/>
      <c r="Z4" s="5"/>
    </row>
    <row r="5">
      <c r="A5" s="5"/>
      <c r="B5" s="16" t="s">
        <v>14</v>
      </c>
      <c r="C5" s="16"/>
      <c r="D5" s="16"/>
      <c r="E5" s="16"/>
      <c r="F5" s="16"/>
      <c r="G5" s="5"/>
      <c r="H5" s="5"/>
      <c r="I5" s="5"/>
      <c r="J5" s="5"/>
      <c r="K5" s="5"/>
      <c r="L5" s="5"/>
      <c r="M5" s="5"/>
      <c r="N5" s="5"/>
      <c r="O5" s="5"/>
      <c r="P5" s="5"/>
      <c r="Q5" s="5"/>
      <c r="R5" s="5"/>
      <c r="S5" s="5"/>
      <c r="T5" s="5"/>
      <c r="U5" s="5"/>
      <c r="V5" s="5"/>
      <c r="W5" s="5"/>
      <c r="X5" s="5"/>
      <c r="Y5" s="5"/>
      <c r="Z5" s="5"/>
    </row>
    <row r="6">
      <c r="A6" s="10">
        <f>0+1</f>
        <v>1</v>
      </c>
      <c r="B6" s="11" t="str">
        <f t="shared" ref="B6:B13" si="1">CONCATENATE("0",A6,"-R-MIN-SRV-GPU")</f>
        <v>01-R-MIN-SRV-GPU</v>
      </c>
      <c r="C6" s="12" t="s">
        <v>15</v>
      </c>
      <c r="D6" s="13" t="s">
        <v>12</v>
      </c>
      <c r="E6" s="13" t="s">
        <v>12</v>
      </c>
      <c r="F6" s="14"/>
      <c r="G6" s="5"/>
      <c r="H6" s="5"/>
      <c r="I6" s="5"/>
      <c r="J6" s="5"/>
      <c r="K6" s="5"/>
      <c r="L6" s="5"/>
      <c r="M6" s="5"/>
      <c r="N6" s="5"/>
      <c r="O6" s="5"/>
      <c r="P6" s="5"/>
      <c r="Q6" s="5"/>
      <c r="R6" s="5"/>
      <c r="S6" s="5"/>
      <c r="T6" s="5"/>
      <c r="U6" s="5"/>
      <c r="V6" s="5"/>
      <c r="W6" s="5"/>
      <c r="X6" s="5"/>
      <c r="Y6" s="5"/>
      <c r="Z6" s="5"/>
    </row>
    <row r="7">
      <c r="A7" s="10">
        <f t="shared" ref="A7:A17" si="2">A6+1</f>
        <v>2</v>
      </c>
      <c r="B7" s="11" t="str">
        <f t="shared" si="1"/>
        <v>02-R-MIN-SRV-GPU</v>
      </c>
      <c r="C7" s="12" t="s">
        <v>16</v>
      </c>
      <c r="D7" s="13" t="s">
        <v>12</v>
      </c>
      <c r="E7" s="13" t="s">
        <v>12</v>
      </c>
      <c r="F7" s="14"/>
      <c r="G7" s="5"/>
      <c r="H7" s="5"/>
      <c r="I7" s="5"/>
      <c r="J7" s="5"/>
      <c r="K7" s="5"/>
      <c r="L7" s="5"/>
      <c r="M7" s="5"/>
      <c r="N7" s="5"/>
      <c r="O7" s="5"/>
      <c r="P7" s="5"/>
      <c r="Q7" s="5"/>
      <c r="R7" s="5"/>
      <c r="S7" s="5"/>
      <c r="T7" s="5"/>
      <c r="U7" s="5"/>
      <c r="V7" s="5"/>
      <c r="W7" s="5"/>
      <c r="X7" s="5"/>
      <c r="Y7" s="5"/>
      <c r="Z7" s="5"/>
    </row>
    <row r="8">
      <c r="A8" s="10">
        <f t="shared" si="2"/>
        <v>3</v>
      </c>
      <c r="B8" s="11" t="str">
        <f t="shared" si="1"/>
        <v>03-R-MIN-SRV-GPU</v>
      </c>
      <c r="C8" s="12" t="s">
        <v>17</v>
      </c>
      <c r="D8" s="12" t="s">
        <v>12</v>
      </c>
      <c r="E8" s="12" t="s">
        <v>12</v>
      </c>
      <c r="F8" s="17"/>
      <c r="G8" s="5"/>
      <c r="H8" s="5"/>
      <c r="I8" s="5"/>
      <c r="J8" s="5"/>
      <c r="K8" s="5"/>
      <c r="L8" s="5"/>
      <c r="M8" s="5"/>
      <c r="N8" s="5"/>
      <c r="O8" s="5"/>
      <c r="P8" s="5"/>
      <c r="Q8" s="5"/>
      <c r="R8" s="5"/>
      <c r="S8" s="5"/>
      <c r="T8" s="5"/>
      <c r="U8" s="5"/>
      <c r="V8" s="5"/>
      <c r="W8" s="5"/>
      <c r="X8" s="5"/>
      <c r="Y8" s="5"/>
      <c r="Z8" s="5"/>
    </row>
    <row r="9">
      <c r="A9" s="10">
        <f t="shared" si="2"/>
        <v>4</v>
      </c>
      <c r="B9" s="11" t="str">
        <f t="shared" si="1"/>
        <v>04-R-MIN-SRV-GPU</v>
      </c>
      <c r="C9" s="18" t="s">
        <v>18</v>
      </c>
      <c r="D9" s="13" t="s">
        <v>12</v>
      </c>
      <c r="E9" s="13" t="s">
        <v>12</v>
      </c>
      <c r="F9" s="14"/>
      <c r="G9" s="5"/>
      <c r="H9" s="5"/>
      <c r="I9" s="5"/>
      <c r="J9" s="5"/>
      <c r="K9" s="5"/>
      <c r="L9" s="5"/>
      <c r="M9" s="5"/>
      <c r="N9" s="5"/>
      <c r="O9" s="5"/>
      <c r="P9" s="5"/>
      <c r="Q9" s="5"/>
      <c r="R9" s="5"/>
      <c r="S9" s="5"/>
      <c r="T9" s="5"/>
      <c r="U9" s="5"/>
      <c r="V9" s="5"/>
      <c r="W9" s="5"/>
      <c r="X9" s="5"/>
      <c r="Y9" s="5"/>
      <c r="Z9" s="5"/>
    </row>
    <row r="10">
      <c r="A10" s="10">
        <f t="shared" si="2"/>
        <v>5</v>
      </c>
      <c r="B10" s="11" t="str">
        <f t="shared" si="1"/>
        <v>05-R-MIN-SRV-GPU</v>
      </c>
      <c r="C10" s="18" t="s">
        <v>19</v>
      </c>
      <c r="D10" s="13" t="s">
        <v>12</v>
      </c>
      <c r="E10" s="13" t="s">
        <v>12</v>
      </c>
      <c r="F10" s="14"/>
      <c r="G10" s="5"/>
      <c r="H10" s="5"/>
      <c r="I10" s="5"/>
      <c r="J10" s="5"/>
      <c r="K10" s="5"/>
      <c r="L10" s="5"/>
      <c r="M10" s="5"/>
      <c r="N10" s="5"/>
      <c r="O10" s="5"/>
      <c r="P10" s="5"/>
      <c r="Q10" s="5"/>
      <c r="R10" s="5"/>
      <c r="S10" s="5"/>
      <c r="T10" s="5"/>
      <c r="U10" s="5"/>
      <c r="V10" s="5"/>
      <c r="W10" s="5"/>
      <c r="X10" s="5"/>
      <c r="Y10" s="5"/>
      <c r="Z10" s="5"/>
    </row>
    <row r="11">
      <c r="A11" s="10">
        <f t="shared" si="2"/>
        <v>6</v>
      </c>
      <c r="B11" s="11" t="str">
        <f t="shared" si="1"/>
        <v>06-R-MIN-SRV-GPU</v>
      </c>
      <c r="C11" s="18" t="s">
        <v>20</v>
      </c>
      <c r="D11" s="13" t="s">
        <v>12</v>
      </c>
      <c r="E11" s="13" t="s">
        <v>12</v>
      </c>
      <c r="F11" s="14"/>
      <c r="G11" s="19"/>
      <c r="H11" s="5"/>
      <c r="I11" s="5"/>
      <c r="J11" s="5"/>
      <c r="K11" s="5"/>
      <c r="L11" s="5"/>
      <c r="M11" s="5"/>
      <c r="N11" s="5"/>
      <c r="O11" s="5"/>
      <c r="P11" s="5"/>
      <c r="Q11" s="5"/>
      <c r="R11" s="5"/>
      <c r="S11" s="5"/>
      <c r="T11" s="5"/>
      <c r="U11" s="5"/>
      <c r="V11" s="5"/>
      <c r="W11" s="5"/>
      <c r="X11" s="5"/>
      <c r="Y11" s="5"/>
      <c r="Z11" s="5"/>
    </row>
    <row r="12">
      <c r="A12" s="10">
        <f t="shared" si="2"/>
        <v>7</v>
      </c>
      <c r="B12" s="11" t="str">
        <f t="shared" si="1"/>
        <v>07-R-MIN-SRV-GPU</v>
      </c>
      <c r="C12" s="18" t="s">
        <v>21</v>
      </c>
      <c r="D12" s="13" t="s">
        <v>12</v>
      </c>
      <c r="E12" s="13" t="s">
        <v>12</v>
      </c>
      <c r="F12" s="14"/>
      <c r="G12" s="19"/>
      <c r="H12" s="5"/>
      <c r="I12" s="5"/>
      <c r="J12" s="5"/>
      <c r="K12" s="5"/>
      <c r="L12" s="5"/>
      <c r="M12" s="5"/>
      <c r="N12" s="5"/>
      <c r="O12" s="5"/>
      <c r="P12" s="5"/>
      <c r="Q12" s="5"/>
      <c r="R12" s="5"/>
      <c r="S12" s="5"/>
      <c r="T12" s="5"/>
      <c r="U12" s="5"/>
      <c r="V12" s="5"/>
      <c r="W12" s="5"/>
      <c r="X12" s="5"/>
      <c r="Y12" s="5"/>
      <c r="Z12" s="5"/>
    </row>
    <row r="13">
      <c r="A13" s="10">
        <f t="shared" si="2"/>
        <v>8</v>
      </c>
      <c r="B13" s="11" t="str">
        <f t="shared" si="1"/>
        <v>08-R-MIN-SRV-GPU</v>
      </c>
      <c r="C13" s="18" t="s">
        <v>22</v>
      </c>
      <c r="D13" s="13" t="s">
        <v>12</v>
      </c>
      <c r="E13" s="13" t="s">
        <v>12</v>
      </c>
      <c r="F13" s="14"/>
      <c r="G13" s="5"/>
      <c r="H13" s="5"/>
      <c r="I13" s="5"/>
      <c r="J13" s="5"/>
      <c r="K13" s="5"/>
      <c r="L13" s="5"/>
      <c r="M13" s="5"/>
      <c r="N13" s="5"/>
      <c r="O13" s="5"/>
      <c r="P13" s="5"/>
      <c r="Q13" s="5"/>
      <c r="R13" s="5"/>
      <c r="S13" s="5"/>
      <c r="T13" s="5"/>
      <c r="U13" s="5"/>
      <c r="V13" s="5"/>
      <c r="W13" s="5"/>
      <c r="X13" s="5"/>
      <c r="Y13" s="5"/>
      <c r="Z13" s="5"/>
    </row>
    <row r="14">
      <c r="A14" s="10">
        <f t="shared" si="2"/>
        <v>9</v>
      </c>
      <c r="B14" s="11" t="str">
        <f t="shared" ref="B14:B17" si="3">CONCATENATE(A14,"-R-MIN-SRV-GPU")</f>
        <v>9-R-MIN-SRV-GPU</v>
      </c>
      <c r="C14" s="18" t="s">
        <v>23</v>
      </c>
      <c r="D14" s="13" t="s">
        <v>12</v>
      </c>
      <c r="E14" s="13" t="s">
        <v>12</v>
      </c>
      <c r="F14" s="14"/>
      <c r="G14" s="5"/>
      <c r="H14" s="5"/>
      <c r="I14" s="5"/>
      <c r="J14" s="5"/>
      <c r="K14" s="5"/>
      <c r="L14" s="5"/>
      <c r="M14" s="5"/>
      <c r="N14" s="5"/>
      <c r="O14" s="5"/>
      <c r="P14" s="5"/>
      <c r="Q14" s="5"/>
      <c r="R14" s="5"/>
      <c r="S14" s="5"/>
      <c r="T14" s="5"/>
      <c r="U14" s="5"/>
      <c r="V14" s="5"/>
      <c r="W14" s="5"/>
      <c r="X14" s="5"/>
      <c r="Y14" s="5"/>
      <c r="Z14" s="5"/>
    </row>
    <row r="15">
      <c r="A15" s="10">
        <f t="shared" si="2"/>
        <v>10</v>
      </c>
      <c r="B15" s="11" t="str">
        <f t="shared" si="3"/>
        <v>10-R-MIN-SRV-GPU</v>
      </c>
      <c r="C15" s="18" t="s">
        <v>24</v>
      </c>
      <c r="D15" s="13" t="s">
        <v>12</v>
      </c>
      <c r="E15" s="13" t="s">
        <v>12</v>
      </c>
      <c r="F15" s="14"/>
      <c r="G15" s="5"/>
      <c r="H15" s="5"/>
      <c r="I15" s="5"/>
      <c r="J15" s="5"/>
      <c r="K15" s="5"/>
      <c r="L15" s="5"/>
      <c r="M15" s="5"/>
      <c r="N15" s="5"/>
      <c r="O15" s="5"/>
      <c r="P15" s="5"/>
      <c r="Q15" s="5"/>
      <c r="R15" s="5"/>
      <c r="S15" s="5"/>
      <c r="T15" s="5"/>
      <c r="U15" s="5"/>
      <c r="V15" s="5"/>
      <c r="W15" s="5"/>
      <c r="X15" s="5"/>
      <c r="Y15" s="5"/>
      <c r="Z15" s="5"/>
    </row>
    <row r="16">
      <c r="A16" s="10">
        <f t="shared" si="2"/>
        <v>11</v>
      </c>
      <c r="B16" s="11" t="str">
        <f t="shared" si="3"/>
        <v>11-R-MIN-SRV-GPU</v>
      </c>
      <c r="C16" s="18" t="s">
        <v>25</v>
      </c>
      <c r="D16" s="13" t="s">
        <v>12</v>
      </c>
      <c r="E16" s="13" t="s">
        <v>12</v>
      </c>
      <c r="F16" s="14"/>
      <c r="G16" s="5"/>
      <c r="H16" s="5"/>
      <c r="I16" s="5"/>
      <c r="J16" s="5"/>
      <c r="K16" s="5"/>
      <c r="L16" s="5"/>
      <c r="M16" s="5"/>
      <c r="N16" s="5"/>
      <c r="O16" s="5"/>
      <c r="P16" s="5"/>
      <c r="Q16" s="5"/>
      <c r="R16" s="5"/>
      <c r="S16" s="5"/>
      <c r="T16" s="5"/>
      <c r="U16" s="5"/>
      <c r="V16" s="5"/>
      <c r="W16" s="5"/>
      <c r="X16" s="5"/>
      <c r="Y16" s="5"/>
      <c r="Z16" s="5"/>
    </row>
    <row r="17">
      <c r="A17" s="10">
        <f t="shared" si="2"/>
        <v>12</v>
      </c>
      <c r="B17" s="11" t="str">
        <f t="shared" si="3"/>
        <v>12-R-MIN-SRV-GPU</v>
      </c>
      <c r="C17" s="18" t="s">
        <v>26</v>
      </c>
      <c r="D17" s="13" t="s">
        <v>12</v>
      </c>
      <c r="E17" s="13" t="s">
        <v>12</v>
      </c>
      <c r="F17" s="14"/>
      <c r="G17" s="5"/>
      <c r="H17" s="5"/>
      <c r="I17" s="5"/>
      <c r="J17" s="5"/>
      <c r="K17" s="5"/>
      <c r="L17" s="5"/>
      <c r="M17" s="5"/>
      <c r="N17" s="5"/>
      <c r="O17" s="5"/>
      <c r="P17" s="5"/>
      <c r="Q17" s="5"/>
      <c r="R17" s="5"/>
      <c r="S17" s="5"/>
      <c r="T17" s="5"/>
      <c r="U17" s="5"/>
      <c r="V17" s="5"/>
      <c r="W17" s="5"/>
      <c r="X17" s="5"/>
      <c r="Y17" s="5"/>
      <c r="Z17" s="5"/>
    </row>
    <row r="18">
      <c r="A18" s="20"/>
      <c r="B18" s="15" t="s">
        <v>27</v>
      </c>
      <c r="C18" s="8"/>
      <c r="D18" s="8"/>
      <c r="E18" s="8"/>
      <c r="F18" s="9"/>
      <c r="G18" s="5"/>
      <c r="H18" s="5"/>
      <c r="I18" s="5"/>
      <c r="J18" s="5"/>
      <c r="K18" s="5"/>
      <c r="L18" s="5"/>
      <c r="M18" s="5"/>
      <c r="N18" s="5"/>
      <c r="O18" s="5"/>
      <c r="P18" s="5"/>
      <c r="Q18" s="5"/>
      <c r="R18" s="5"/>
      <c r="S18" s="5"/>
      <c r="T18" s="5"/>
      <c r="U18" s="5"/>
      <c r="V18" s="5"/>
      <c r="W18" s="5"/>
      <c r="X18" s="5"/>
      <c r="Y18" s="5"/>
      <c r="Z18" s="5"/>
    </row>
    <row r="19">
      <c r="A19" s="5"/>
      <c r="B19" s="16" t="s">
        <v>28</v>
      </c>
      <c r="C19" s="16"/>
      <c r="D19" s="16"/>
      <c r="E19" s="16"/>
      <c r="F19" s="21"/>
      <c r="G19" s="5"/>
      <c r="H19" s="5"/>
      <c r="I19" s="5"/>
      <c r="J19" s="5"/>
      <c r="K19" s="5"/>
      <c r="L19" s="5"/>
      <c r="M19" s="5"/>
      <c r="N19" s="5"/>
      <c r="O19" s="5"/>
      <c r="P19" s="5"/>
      <c r="Q19" s="5"/>
      <c r="R19" s="5"/>
      <c r="S19" s="5"/>
      <c r="T19" s="5"/>
      <c r="U19" s="5"/>
      <c r="V19" s="5"/>
      <c r="W19" s="5"/>
      <c r="X19" s="5"/>
      <c r="Y19" s="5"/>
      <c r="Z19" s="5"/>
    </row>
    <row r="20">
      <c r="A20" s="10">
        <f>0+1</f>
        <v>1</v>
      </c>
      <c r="B20" s="13" t="str">
        <f t="shared" ref="B20:B21" si="4">CONCATENATE("0",A20,"-R-MIN-LCS-VMW")</f>
        <v>01-R-MIN-LCS-VMW</v>
      </c>
      <c r="C20" s="18" t="s">
        <v>29</v>
      </c>
      <c r="D20" s="13" t="s">
        <v>12</v>
      </c>
      <c r="E20" s="13" t="s">
        <v>12</v>
      </c>
      <c r="F20" s="14"/>
      <c r="G20" s="5"/>
      <c r="H20" s="5"/>
      <c r="I20" s="5"/>
      <c r="J20" s="5"/>
      <c r="K20" s="5"/>
      <c r="L20" s="5"/>
      <c r="M20" s="5"/>
      <c r="N20" s="5"/>
      <c r="O20" s="5"/>
      <c r="P20" s="5"/>
      <c r="Q20" s="5"/>
      <c r="R20" s="5"/>
      <c r="S20" s="5"/>
      <c r="T20" s="5"/>
      <c r="U20" s="5"/>
      <c r="V20" s="5"/>
      <c r="W20" s="5"/>
      <c r="X20" s="5"/>
      <c r="Y20" s="5"/>
      <c r="Z20" s="5"/>
    </row>
    <row r="21" ht="15.75" customHeight="1">
      <c r="A21" s="10">
        <f>A20+1</f>
        <v>2</v>
      </c>
      <c r="B21" s="13" t="str">
        <f t="shared" si="4"/>
        <v>02-R-MIN-LCS-VMW</v>
      </c>
      <c r="C21" s="18" t="s">
        <v>30</v>
      </c>
      <c r="D21" s="13" t="s">
        <v>12</v>
      </c>
      <c r="E21" s="13" t="s">
        <v>12</v>
      </c>
      <c r="F21" s="14"/>
      <c r="G21" s="5"/>
      <c r="H21" s="5"/>
      <c r="I21" s="5"/>
      <c r="J21" s="5"/>
      <c r="K21" s="5"/>
      <c r="L21" s="5"/>
      <c r="M21" s="5"/>
      <c r="N21" s="5"/>
      <c r="O21" s="5"/>
      <c r="P21" s="5"/>
      <c r="Q21" s="5"/>
      <c r="R21" s="5"/>
      <c r="S21" s="5"/>
      <c r="T21" s="5"/>
      <c r="U21" s="5"/>
      <c r="V21" s="5"/>
      <c r="W21" s="5"/>
      <c r="X21" s="5"/>
      <c r="Y21" s="5"/>
      <c r="Z21" s="5"/>
    </row>
    <row r="22" ht="15.75" customHeight="1">
      <c r="A22" s="5"/>
      <c r="B22" s="16" t="s">
        <v>31</v>
      </c>
      <c r="C22" s="22"/>
      <c r="D22" s="22"/>
      <c r="E22" s="22"/>
      <c r="F22" s="22"/>
      <c r="G22" s="5"/>
      <c r="H22" s="5"/>
      <c r="I22" s="5"/>
      <c r="J22" s="5"/>
      <c r="K22" s="5"/>
      <c r="L22" s="5"/>
      <c r="M22" s="5"/>
      <c r="N22" s="5"/>
      <c r="O22" s="5"/>
      <c r="P22" s="5"/>
      <c r="Q22" s="5"/>
      <c r="R22" s="5"/>
      <c r="S22" s="5"/>
      <c r="T22" s="5"/>
      <c r="U22" s="5"/>
      <c r="V22" s="5"/>
      <c r="W22" s="5"/>
      <c r="X22" s="5"/>
      <c r="Y22" s="5"/>
      <c r="Z22" s="5"/>
    </row>
    <row r="23" ht="96.0" customHeight="1">
      <c r="A23" s="10">
        <f>0+1</f>
        <v>1</v>
      </c>
      <c r="B23" s="13" t="str">
        <f>CONCATENATE("0",A23,"-R-MIN-LCS-NVD")</f>
        <v>01-R-MIN-LCS-NVD</v>
      </c>
      <c r="C23" s="18" t="s">
        <v>32</v>
      </c>
      <c r="D23" s="13" t="s">
        <v>12</v>
      </c>
      <c r="E23" s="13" t="s">
        <v>12</v>
      </c>
      <c r="F23" s="14"/>
      <c r="G23" s="5"/>
      <c r="H23" s="5"/>
      <c r="I23" s="5"/>
      <c r="J23" s="5"/>
      <c r="K23" s="5"/>
      <c r="L23" s="5"/>
      <c r="M23" s="5"/>
      <c r="N23" s="5"/>
      <c r="O23" s="5"/>
      <c r="P23" s="5"/>
      <c r="Q23" s="5"/>
      <c r="R23" s="5"/>
      <c r="S23" s="5"/>
      <c r="T23" s="5"/>
      <c r="U23" s="5"/>
      <c r="V23" s="5"/>
      <c r="W23" s="5"/>
      <c r="X23" s="5"/>
      <c r="Y23" s="5"/>
      <c r="Z23" s="5"/>
    </row>
    <row r="24" ht="15.75" customHeight="1">
      <c r="A24" s="5"/>
      <c r="B24" s="15" t="s">
        <v>33</v>
      </c>
      <c r="C24" s="8"/>
      <c r="D24" s="8"/>
      <c r="E24" s="8"/>
      <c r="F24" s="9"/>
      <c r="G24" s="5"/>
      <c r="H24" s="5"/>
      <c r="I24" s="5"/>
      <c r="J24" s="5"/>
      <c r="K24" s="5"/>
      <c r="L24" s="5"/>
      <c r="M24" s="5"/>
      <c r="N24" s="5"/>
      <c r="O24" s="5"/>
      <c r="P24" s="5"/>
      <c r="Q24" s="5"/>
      <c r="R24" s="5"/>
      <c r="S24" s="5"/>
      <c r="T24" s="5"/>
      <c r="U24" s="5"/>
      <c r="V24" s="5"/>
      <c r="W24" s="5"/>
      <c r="X24" s="5"/>
      <c r="Y24" s="5"/>
      <c r="Z24" s="5"/>
    </row>
    <row r="25" ht="15.75" customHeight="1">
      <c r="A25" s="5"/>
      <c r="B25" s="21" t="s">
        <v>34</v>
      </c>
      <c r="C25" s="22"/>
      <c r="D25" s="22"/>
      <c r="E25" s="22"/>
      <c r="F25" s="22"/>
      <c r="G25" s="5"/>
      <c r="H25" s="5"/>
      <c r="I25" s="5"/>
      <c r="J25" s="5"/>
      <c r="K25" s="5"/>
      <c r="L25" s="5"/>
      <c r="M25" s="5"/>
      <c r="N25" s="5"/>
      <c r="O25" s="5"/>
      <c r="P25" s="5"/>
      <c r="Q25" s="5"/>
      <c r="R25" s="5"/>
      <c r="S25" s="5"/>
      <c r="T25" s="5"/>
      <c r="U25" s="5"/>
      <c r="V25" s="5"/>
      <c r="W25" s="5"/>
      <c r="X25" s="5"/>
      <c r="Y25" s="5"/>
      <c r="Z25" s="5"/>
    </row>
    <row r="26" ht="15.75" customHeight="1">
      <c r="A26" s="10">
        <f>0+1</f>
        <v>1</v>
      </c>
      <c r="B26" s="13" t="str">
        <f t="shared" ref="B26:B30" si="5">CONCATENATE("0",A26,"-R-MIN-NET-DAT")</f>
        <v>01-R-MIN-NET-DAT</v>
      </c>
      <c r="C26" s="18" t="s">
        <v>35</v>
      </c>
      <c r="D26" s="13" t="s">
        <v>12</v>
      </c>
      <c r="E26" s="13" t="s">
        <v>12</v>
      </c>
      <c r="F26" s="14"/>
      <c r="G26" s="5"/>
      <c r="H26" s="5"/>
      <c r="I26" s="5"/>
      <c r="J26" s="5"/>
      <c r="K26" s="5"/>
      <c r="L26" s="5"/>
      <c r="M26" s="5"/>
      <c r="N26" s="5"/>
      <c r="O26" s="5"/>
      <c r="P26" s="5"/>
      <c r="Q26" s="5"/>
      <c r="R26" s="5"/>
      <c r="S26" s="5"/>
      <c r="T26" s="5"/>
      <c r="U26" s="5"/>
      <c r="V26" s="5"/>
      <c r="W26" s="5"/>
      <c r="X26" s="5"/>
      <c r="Y26" s="5"/>
      <c r="Z26" s="5"/>
    </row>
    <row r="27" ht="15.75" customHeight="1">
      <c r="A27" s="10">
        <f t="shared" ref="A27:A30" si="6">A26+1</f>
        <v>2</v>
      </c>
      <c r="B27" s="13" t="str">
        <f t="shared" si="5"/>
        <v>02-R-MIN-NET-DAT</v>
      </c>
      <c r="C27" s="18" t="s">
        <v>36</v>
      </c>
      <c r="D27" s="13"/>
      <c r="E27" s="5"/>
      <c r="F27" s="14"/>
      <c r="G27" s="5"/>
      <c r="H27" s="5"/>
      <c r="I27" s="5"/>
      <c r="J27" s="5"/>
      <c r="K27" s="5"/>
      <c r="L27" s="5"/>
      <c r="M27" s="5"/>
      <c r="N27" s="5"/>
      <c r="O27" s="5"/>
      <c r="P27" s="5"/>
      <c r="Q27" s="5"/>
      <c r="R27" s="5"/>
      <c r="S27" s="5"/>
      <c r="T27" s="5"/>
      <c r="U27" s="5"/>
      <c r="V27" s="5"/>
      <c r="W27" s="5"/>
      <c r="X27" s="5"/>
      <c r="Y27" s="5"/>
      <c r="Z27" s="5"/>
    </row>
    <row r="28" ht="15.75" customHeight="1">
      <c r="A28" s="10">
        <f t="shared" si="6"/>
        <v>3</v>
      </c>
      <c r="B28" s="13" t="str">
        <f t="shared" si="5"/>
        <v>03-R-MIN-NET-DAT</v>
      </c>
      <c r="C28" s="18" t="s">
        <v>37</v>
      </c>
      <c r="D28" s="13"/>
      <c r="E28" s="13"/>
      <c r="F28" s="14"/>
      <c r="G28" s="5"/>
      <c r="H28" s="5"/>
      <c r="I28" s="5"/>
      <c r="J28" s="5"/>
      <c r="K28" s="5"/>
      <c r="L28" s="5"/>
      <c r="M28" s="5"/>
      <c r="N28" s="5"/>
      <c r="O28" s="5"/>
      <c r="P28" s="5"/>
      <c r="Q28" s="5"/>
      <c r="R28" s="5"/>
      <c r="S28" s="5"/>
      <c r="T28" s="5"/>
      <c r="U28" s="5"/>
      <c r="V28" s="5"/>
      <c r="W28" s="5"/>
      <c r="X28" s="5"/>
      <c r="Y28" s="5"/>
      <c r="Z28" s="5"/>
    </row>
    <row r="29" ht="15.75" customHeight="1">
      <c r="A29" s="10">
        <f t="shared" si="6"/>
        <v>4</v>
      </c>
      <c r="B29" s="13" t="str">
        <f t="shared" si="5"/>
        <v>04-R-MIN-NET-DAT</v>
      </c>
      <c r="C29" s="18" t="s">
        <v>38</v>
      </c>
      <c r="D29" s="13"/>
      <c r="E29" s="13"/>
      <c r="F29" s="14"/>
      <c r="G29" s="5"/>
      <c r="H29" s="5"/>
      <c r="I29" s="5"/>
      <c r="J29" s="5"/>
      <c r="K29" s="5"/>
      <c r="L29" s="5"/>
      <c r="M29" s="5"/>
      <c r="N29" s="5"/>
      <c r="O29" s="5"/>
      <c r="P29" s="5"/>
      <c r="Q29" s="5"/>
      <c r="R29" s="5"/>
      <c r="S29" s="5"/>
      <c r="T29" s="5"/>
      <c r="U29" s="5"/>
      <c r="V29" s="5"/>
      <c r="W29" s="5"/>
      <c r="X29" s="5"/>
      <c r="Y29" s="5"/>
      <c r="Z29" s="5"/>
    </row>
    <row r="30" ht="15.75" customHeight="1">
      <c r="A30" s="10">
        <f t="shared" si="6"/>
        <v>5</v>
      </c>
      <c r="B30" s="13" t="str">
        <f t="shared" si="5"/>
        <v>05-R-MIN-NET-DAT</v>
      </c>
      <c r="C30" s="18" t="s">
        <v>39</v>
      </c>
      <c r="D30" s="13" t="s">
        <v>12</v>
      </c>
      <c r="E30" s="13" t="s">
        <v>12</v>
      </c>
      <c r="F30" s="14"/>
      <c r="G30" s="5"/>
      <c r="H30" s="5"/>
      <c r="I30" s="5"/>
      <c r="J30" s="5"/>
      <c r="K30" s="5"/>
      <c r="L30" s="5"/>
      <c r="M30" s="5"/>
      <c r="N30" s="5"/>
      <c r="O30" s="5"/>
      <c r="P30" s="5"/>
      <c r="Q30" s="5"/>
      <c r="R30" s="5"/>
      <c r="S30" s="5"/>
      <c r="T30" s="5"/>
      <c r="U30" s="5"/>
      <c r="V30" s="5"/>
      <c r="W30" s="5"/>
      <c r="X30" s="5"/>
      <c r="Y30" s="5"/>
      <c r="Z30" s="5"/>
    </row>
    <row r="31" ht="24.0" customHeight="1">
      <c r="A31" s="10">
        <v>6.0</v>
      </c>
      <c r="B31" s="23" t="s">
        <v>40</v>
      </c>
      <c r="C31" s="24" t="s">
        <v>41</v>
      </c>
      <c r="D31" s="13" t="s">
        <v>42</v>
      </c>
      <c r="E31" s="13" t="s">
        <v>43</v>
      </c>
      <c r="F31" s="14"/>
      <c r="G31" s="5"/>
      <c r="H31" s="5"/>
      <c r="I31" s="5"/>
      <c r="J31" s="5"/>
      <c r="K31" s="5"/>
      <c r="L31" s="5"/>
      <c r="M31" s="5"/>
      <c r="N31" s="5"/>
      <c r="O31" s="5"/>
      <c r="P31" s="5"/>
      <c r="Q31" s="5"/>
      <c r="R31" s="5"/>
      <c r="S31" s="5"/>
      <c r="T31" s="5"/>
      <c r="U31" s="5"/>
      <c r="V31" s="5"/>
      <c r="W31" s="5"/>
      <c r="X31" s="5"/>
      <c r="Y31" s="5"/>
      <c r="Z31" s="5"/>
    </row>
    <row r="32" ht="15.75" customHeight="1">
      <c r="A32" s="25"/>
      <c r="B32" s="26"/>
      <c r="C32" s="26"/>
      <c r="D32" s="13" t="s">
        <v>44</v>
      </c>
      <c r="E32" s="13" t="s">
        <v>45</v>
      </c>
      <c r="F32" s="14"/>
      <c r="G32" s="5"/>
      <c r="H32" s="5"/>
      <c r="I32" s="5"/>
      <c r="J32" s="5"/>
      <c r="K32" s="5"/>
      <c r="L32" s="5"/>
      <c r="M32" s="5"/>
      <c r="N32" s="5"/>
      <c r="O32" s="5"/>
      <c r="P32" s="5"/>
      <c r="Q32" s="5"/>
      <c r="R32" s="5"/>
      <c r="S32" s="5"/>
      <c r="T32" s="5"/>
      <c r="U32" s="5"/>
      <c r="V32" s="5"/>
      <c r="W32" s="5"/>
      <c r="X32" s="5"/>
      <c r="Y32" s="5"/>
      <c r="Z32" s="5"/>
    </row>
    <row r="33" ht="15.75" customHeight="1">
      <c r="A33" s="25"/>
      <c r="B33" s="26"/>
      <c r="C33" s="26"/>
      <c r="D33" s="13" t="s">
        <v>46</v>
      </c>
      <c r="E33" s="13" t="s">
        <v>47</v>
      </c>
      <c r="F33" s="14"/>
      <c r="G33" s="5"/>
      <c r="H33" s="5"/>
      <c r="I33" s="5"/>
      <c r="J33" s="5"/>
      <c r="K33" s="5"/>
      <c r="L33" s="5"/>
      <c r="M33" s="5"/>
      <c r="N33" s="5"/>
      <c r="O33" s="5"/>
      <c r="P33" s="5"/>
      <c r="Q33" s="5"/>
      <c r="R33" s="5"/>
      <c r="S33" s="5"/>
      <c r="T33" s="5"/>
      <c r="U33" s="5"/>
      <c r="V33" s="5"/>
      <c r="W33" s="5"/>
      <c r="X33" s="5"/>
      <c r="Y33" s="5"/>
      <c r="Z33" s="5"/>
    </row>
    <row r="34" ht="15.75" customHeight="1">
      <c r="A34" s="25"/>
      <c r="B34" s="26"/>
      <c r="C34" s="26"/>
      <c r="D34" s="13" t="s">
        <v>48</v>
      </c>
      <c r="E34" s="13" t="s">
        <v>49</v>
      </c>
      <c r="F34" s="14"/>
      <c r="G34" s="5"/>
      <c r="H34" s="5"/>
      <c r="I34" s="5"/>
      <c r="J34" s="5"/>
      <c r="K34" s="5"/>
      <c r="L34" s="5"/>
      <c r="M34" s="5"/>
      <c r="N34" s="5"/>
      <c r="O34" s="5"/>
      <c r="P34" s="5"/>
      <c r="Q34" s="5"/>
      <c r="R34" s="5"/>
      <c r="S34" s="5"/>
      <c r="T34" s="5"/>
      <c r="U34" s="5"/>
      <c r="V34" s="5"/>
      <c r="W34" s="5"/>
      <c r="X34" s="5"/>
      <c r="Y34" s="5"/>
      <c r="Z34" s="5"/>
    </row>
    <row r="35" ht="15.75" customHeight="1">
      <c r="A35" s="25"/>
      <c r="B35" s="26"/>
      <c r="C35" s="26"/>
      <c r="D35" s="13" t="s">
        <v>50</v>
      </c>
      <c r="E35" s="13" t="s">
        <v>51</v>
      </c>
      <c r="F35" s="14"/>
      <c r="G35" s="5"/>
      <c r="H35" s="5"/>
      <c r="I35" s="5"/>
      <c r="J35" s="5"/>
      <c r="K35" s="5"/>
      <c r="L35" s="5"/>
      <c r="M35" s="5"/>
      <c r="N35" s="5"/>
      <c r="O35" s="5"/>
      <c r="P35" s="5"/>
      <c r="Q35" s="5"/>
      <c r="R35" s="5"/>
      <c r="S35" s="5"/>
      <c r="T35" s="5"/>
      <c r="U35" s="5"/>
      <c r="V35" s="5"/>
      <c r="W35" s="5"/>
      <c r="X35" s="5"/>
      <c r="Y35" s="5"/>
      <c r="Z35" s="5"/>
    </row>
    <row r="36" ht="15.75" customHeight="1">
      <c r="A36" s="10">
        <v>7.0</v>
      </c>
      <c r="B36" s="13" t="str">
        <f t="shared" ref="B36:B37" si="7">CONCATENATE("0",A36,"-R-MIN-NET-DAT")</f>
        <v>07-R-MIN-NET-DAT</v>
      </c>
      <c r="C36" s="18" t="s">
        <v>52</v>
      </c>
      <c r="D36" s="13" t="s">
        <v>12</v>
      </c>
      <c r="E36" s="13" t="s">
        <v>12</v>
      </c>
      <c r="F36" s="14"/>
      <c r="G36" s="5"/>
      <c r="H36" s="5"/>
      <c r="I36" s="5"/>
      <c r="J36" s="5"/>
      <c r="K36" s="5"/>
      <c r="L36" s="5"/>
      <c r="M36" s="5"/>
      <c r="N36" s="5"/>
      <c r="O36" s="5"/>
      <c r="P36" s="5"/>
      <c r="Q36" s="5"/>
      <c r="R36" s="5"/>
      <c r="S36" s="5"/>
      <c r="T36" s="5"/>
      <c r="U36" s="5"/>
      <c r="V36" s="5"/>
      <c r="W36" s="5"/>
      <c r="X36" s="5"/>
      <c r="Y36" s="5"/>
      <c r="Z36" s="5"/>
    </row>
    <row r="37" ht="15.75" customHeight="1">
      <c r="A37" s="10">
        <f>A36+1</f>
        <v>8</v>
      </c>
      <c r="B37" s="13" t="str">
        <f t="shared" si="7"/>
        <v>08-R-MIN-NET-DAT</v>
      </c>
      <c r="C37" s="18" t="s">
        <v>53</v>
      </c>
      <c r="D37" s="13" t="s">
        <v>12</v>
      </c>
      <c r="E37" s="13" t="s">
        <v>12</v>
      </c>
      <c r="F37" s="14"/>
      <c r="G37" s="5"/>
      <c r="H37" s="5"/>
      <c r="I37" s="5"/>
      <c r="J37" s="5"/>
      <c r="K37" s="5"/>
      <c r="L37" s="5"/>
      <c r="M37" s="5"/>
      <c r="N37" s="5"/>
      <c r="O37" s="5"/>
      <c r="P37" s="5"/>
      <c r="Q37" s="5"/>
      <c r="R37" s="5"/>
      <c r="S37" s="5"/>
      <c r="T37" s="5"/>
      <c r="U37" s="5"/>
      <c r="V37" s="5"/>
      <c r="W37" s="5"/>
      <c r="X37" s="5"/>
      <c r="Y37" s="5"/>
      <c r="Z37" s="5"/>
    </row>
    <row r="38" ht="15.75" customHeight="1">
      <c r="A38" s="5"/>
      <c r="B38" s="21" t="s">
        <v>54</v>
      </c>
      <c r="C38" s="22"/>
      <c r="D38" s="22"/>
      <c r="E38" s="22"/>
      <c r="F38" s="22"/>
      <c r="G38" s="5"/>
      <c r="H38" s="5"/>
      <c r="I38" s="5"/>
      <c r="J38" s="5"/>
      <c r="K38" s="5"/>
      <c r="L38" s="5"/>
      <c r="M38" s="5"/>
      <c r="N38" s="5"/>
      <c r="O38" s="5"/>
      <c r="P38" s="5"/>
      <c r="Q38" s="5"/>
      <c r="R38" s="5"/>
      <c r="S38" s="5"/>
      <c r="T38" s="5"/>
      <c r="U38" s="5"/>
      <c r="V38" s="5"/>
      <c r="W38" s="5"/>
      <c r="X38" s="5"/>
      <c r="Y38" s="5"/>
      <c r="Z38" s="5"/>
    </row>
    <row r="39" ht="15.75" customHeight="1">
      <c r="A39" s="10">
        <f>0+1</f>
        <v>1</v>
      </c>
      <c r="B39" s="13" t="str">
        <f t="shared" ref="B39:B44" si="8">CONCATENATE("0",A39,"-R-MIN-NET-OOB")</f>
        <v>01-R-MIN-NET-OOB</v>
      </c>
      <c r="C39" s="18" t="s">
        <v>55</v>
      </c>
      <c r="D39" s="13" t="s">
        <v>12</v>
      </c>
      <c r="E39" s="13" t="s">
        <v>12</v>
      </c>
      <c r="F39" s="14"/>
      <c r="G39" s="5"/>
      <c r="H39" s="5"/>
      <c r="I39" s="5"/>
      <c r="J39" s="5"/>
      <c r="K39" s="5"/>
      <c r="L39" s="5"/>
      <c r="M39" s="5"/>
      <c r="N39" s="5"/>
      <c r="O39" s="5"/>
      <c r="P39" s="5"/>
      <c r="Q39" s="5"/>
      <c r="R39" s="5"/>
      <c r="S39" s="5"/>
      <c r="T39" s="5"/>
      <c r="U39" s="5"/>
      <c r="V39" s="5"/>
      <c r="W39" s="5"/>
      <c r="X39" s="5"/>
      <c r="Y39" s="5"/>
      <c r="Z39" s="5"/>
    </row>
    <row r="40" ht="15.75" customHeight="1">
      <c r="A40" s="10">
        <f t="shared" ref="A40:A44" si="9">A39+1</f>
        <v>2</v>
      </c>
      <c r="B40" s="13" t="str">
        <f t="shared" si="8"/>
        <v>02-R-MIN-NET-OOB</v>
      </c>
      <c r="C40" s="18" t="s">
        <v>56</v>
      </c>
      <c r="D40" s="13" t="s">
        <v>12</v>
      </c>
      <c r="E40" s="13" t="s">
        <v>12</v>
      </c>
      <c r="F40" s="14"/>
      <c r="G40" s="5"/>
      <c r="H40" s="5"/>
      <c r="I40" s="5"/>
      <c r="J40" s="5"/>
      <c r="K40" s="5"/>
      <c r="L40" s="5"/>
      <c r="M40" s="5"/>
      <c r="N40" s="5"/>
      <c r="O40" s="5"/>
      <c r="P40" s="5"/>
      <c r="Q40" s="5"/>
      <c r="R40" s="5"/>
      <c r="S40" s="5"/>
      <c r="T40" s="5"/>
      <c r="U40" s="5"/>
      <c r="V40" s="5"/>
      <c r="W40" s="5"/>
      <c r="X40" s="5"/>
      <c r="Y40" s="5"/>
      <c r="Z40" s="5"/>
    </row>
    <row r="41" ht="15.75" customHeight="1">
      <c r="A41" s="10">
        <f t="shared" si="9"/>
        <v>3</v>
      </c>
      <c r="B41" s="13" t="str">
        <f t="shared" si="8"/>
        <v>03-R-MIN-NET-OOB</v>
      </c>
      <c r="C41" s="18" t="s">
        <v>57</v>
      </c>
      <c r="D41" s="13" t="s">
        <v>12</v>
      </c>
      <c r="E41" s="13" t="s">
        <v>12</v>
      </c>
      <c r="F41" s="14"/>
      <c r="G41" s="5"/>
      <c r="H41" s="5"/>
      <c r="I41" s="5"/>
      <c r="J41" s="5"/>
      <c r="K41" s="5"/>
      <c r="L41" s="5"/>
      <c r="M41" s="5"/>
      <c r="N41" s="5"/>
      <c r="O41" s="5"/>
      <c r="P41" s="5"/>
      <c r="Q41" s="5"/>
      <c r="R41" s="5"/>
      <c r="S41" s="5"/>
      <c r="T41" s="5"/>
      <c r="U41" s="5"/>
      <c r="V41" s="5"/>
      <c r="W41" s="5"/>
      <c r="X41" s="5"/>
      <c r="Y41" s="5"/>
      <c r="Z41" s="5"/>
    </row>
    <row r="42" ht="15.75" customHeight="1">
      <c r="A42" s="10">
        <f t="shared" si="9"/>
        <v>4</v>
      </c>
      <c r="B42" s="13" t="str">
        <f t="shared" si="8"/>
        <v>04-R-MIN-NET-OOB</v>
      </c>
      <c r="C42" s="18" t="s">
        <v>58</v>
      </c>
      <c r="D42" s="13" t="s">
        <v>12</v>
      </c>
      <c r="E42" s="13" t="s">
        <v>12</v>
      </c>
      <c r="F42" s="14"/>
      <c r="G42" s="5"/>
      <c r="H42" s="5"/>
      <c r="I42" s="5"/>
      <c r="J42" s="5"/>
      <c r="K42" s="5"/>
      <c r="L42" s="5"/>
      <c r="M42" s="5"/>
      <c r="N42" s="5"/>
      <c r="O42" s="5"/>
      <c r="P42" s="5"/>
      <c r="Q42" s="5"/>
      <c r="R42" s="5"/>
      <c r="S42" s="5"/>
      <c r="T42" s="5"/>
      <c r="U42" s="5"/>
      <c r="V42" s="5"/>
      <c r="W42" s="5"/>
      <c r="X42" s="5"/>
      <c r="Y42" s="5"/>
      <c r="Z42" s="5"/>
    </row>
    <row r="43" ht="15.75" customHeight="1">
      <c r="A43" s="10">
        <f t="shared" si="9"/>
        <v>5</v>
      </c>
      <c r="B43" s="13" t="str">
        <f t="shared" si="8"/>
        <v>05-R-MIN-NET-OOB</v>
      </c>
      <c r="C43" s="18" t="s">
        <v>59</v>
      </c>
      <c r="D43" s="13" t="s">
        <v>12</v>
      </c>
      <c r="E43" s="13" t="s">
        <v>12</v>
      </c>
      <c r="F43" s="14"/>
      <c r="G43" s="5"/>
      <c r="H43" s="5"/>
      <c r="I43" s="5"/>
      <c r="J43" s="5"/>
      <c r="K43" s="5"/>
      <c r="L43" s="5"/>
      <c r="M43" s="5"/>
      <c r="N43" s="5"/>
      <c r="O43" s="5"/>
      <c r="P43" s="5"/>
      <c r="Q43" s="5"/>
      <c r="R43" s="5"/>
      <c r="S43" s="5"/>
      <c r="T43" s="5"/>
      <c r="U43" s="5"/>
      <c r="V43" s="5"/>
      <c r="W43" s="5"/>
      <c r="X43" s="5"/>
      <c r="Y43" s="5"/>
      <c r="Z43" s="5"/>
    </row>
    <row r="44" ht="15.75" customHeight="1">
      <c r="A44" s="10">
        <f t="shared" si="9"/>
        <v>6</v>
      </c>
      <c r="B44" s="13" t="str">
        <f t="shared" si="8"/>
        <v>06-R-MIN-NET-OOB</v>
      </c>
      <c r="C44" s="18" t="s">
        <v>60</v>
      </c>
      <c r="D44" s="13" t="s">
        <v>12</v>
      </c>
      <c r="E44" s="13" t="s">
        <v>12</v>
      </c>
      <c r="F44" s="14"/>
      <c r="G44" s="5"/>
      <c r="H44" s="5"/>
      <c r="I44" s="5"/>
      <c r="J44" s="5"/>
      <c r="K44" s="5"/>
      <c r="L44" s="5"/>
      <c r="M44" s="5"/>
      <c r="N44" s="5"/>
      <c r="O44" s="5"/>
      <c r="P44" s="5"/>
      <c r="Q44" s="5"/>
      <c r="R44" s="5"/>
      <c r="S44" s="5"/>
      <c r="T44" s="5"/>
      <c r="U44" s="5"/>
      <c r="V44" s="5"/>
      <c r="W44" s="5"/>
      <c r="X44" s="5"/>
      <c r="Y44" s="5"/>
      <c r="Z44" s="5"/>
    </row>
    <row r="45" ht="15.75" customHeight="1">
      <c r="A45" s="5"/>
      <c r="B45" s="21" t="s">
        <v>61</v>
      </c>
      <c r="C45" s="22"/>
      <c r="D45" s="22"/>
      <c r="E45" s="22"/>
      <c r="F45" s="22"/>
      <c r="G45" s="5"/>
      <c r="H45" s="5"/>
      <c r="I45" s="5"/>
      <c r="J45" s="5"/>
      <c r="K45" s="5"/>
      <c r="L45" s="5"/>
      <c r="M45" s="5"/>
      <c r="N45" s="5"/>
      <c r="O45" s="5"/>
      <c r="P45" s="5"/>
      <c r="Q45" s="5"/>
      <c r="R45" s="5"/>
      <c r="S45" s="5"/>
      <c r="T45" s="5"/>
      <c r="U45" s="5"/>
      <c r="V45" s="5"/>
      <c r="W45" s="5"/>
      <c r="X45" s="5"/>
      <c r="Y45" s="5"/>
      <c r="Z45" s="5"/>
    </row>
    <row r="46" ht="15.75" customHeight="1">
      <c r="A46" s="10">
        <f>0+1</f>
        <v>1</v>
      </c>
      <c r="B46" s="13" t="str">
        <f>CONCATENATE("0",A46,"-R-MIN-NET-SWM")</f>
        <v>01-R-MIN-NET-SWM</v>
      </c>
      <c r="C46" s="18" t="s">
        <v>62</v>
      </c>
      <c r="D46" s="13" t="s">
        <v>12</v>
      </c>
      <c r="E46" s="13" t="s">
        <v>12</v>
      </c>
      <c r="F46" s="14"/>
      <c r="G46" s="5"/>
      <c r="H46" s="5"/>
      <c r="I46" s="5"/>
      <c r="J46" s="5"/>
      <c r="K46" s="5"/>
      <c r="L46" s="5"/>
      <c r="M46" s="5"/>
      <c r="N46" s="5"/>
      <c r="O46" s="5"/>
      <c r="P46" s="5"/>
      <c r="Q46" s="5"/>
      <c r="R46" s="5"/>
      <c r="S46" s="5"/>
      <c r="T46" s="5"/>
      <c r="U46" s="5"/>
      <c r="V46" s="5"/>
      <c r="W46" s="5"/>
      <c r="X46" s="5"/>
      <c r="Y46" s="5"/>
      <c r="Z46" s="5"/>
    </row>
    <row r="47" ht="15.75" customHeight="1">
      <c r="A47" s="5"/>
      <c r="B47" s="15" t="s">
        <v>63</v>
      </c>
      <c r="C47" s="8"/>
      <c r="D47" s="8"/>
      <c r="E47" s="8"/>
      <c r="F47" s="9"/>
      <c r="G47" s="5"/>
      <c r="H47" s="5"/>
      <c r="I47" s="5"/>
      <c r="J47" s="5"/>
      <c r="K47" s="5"/>
      <c r="L47" s="5"/>
      <c r="M47" s="5"/>
      <c r="N47" s="5"/>
      <c r="O47" s="5"/>
      <c r="P47" s="5"/>
      <c r="Q47" s="5"/>
      <c r="R47" s="5"/>
      <c r="S47" s="5"/>
      <c r="T47" s="5"/>
      <c r="U47" s="5"/>
      <c r="V47" s="5"/>
      <c r="W47" s="5"/>
      <c r="X47" s="5"/>
      <c r="Y47" s="5"/>
      <c r="Z47" s="5"/>
    </row>
    <row r="48" ht="15.75" customHeight="1">
      <c r="A48" s="5"/>
      <c r="B48" s="21" t="s">
        <v>64</v>
      </c>
      <c r="C48" s="22"/>
      <c r="D48" s="22"/>
      <c r="E48" s="22"/>
      <c r="F48" s="22"/>
      <c r="G48" s="5"/>
      <c r="H48" s="5"/>
      <c r="I48" s="5"/>
      <c r="J48" s="5"/>
      <c r="K48" s="5"/>
      <c r="L48" s="5"/>
      <c r="M48" s="5"/>
      <c r="N48" s="5"/>
      <c r="O48" s="5"/>
      <c r="P48" s="5"/>
      <c r="Q48" s="5"/>
      <c r="R48" s="5"/>
      <c r="S48" s="5"/>
      <c r="T48" s="5"/>
      <c r="U48" s="5"/>
      <c r="V48" s="5"/>
      <c r="W48" s="5"/>
      <c r="X48" s="5"/>
      <c r="Y48" s="5"/>
      <c r="Z48" s="5"/>
    </row>
    <row r="49" ht="15.75" customHeight="1">
      <c r="A49" s="10">
        <f>0+1</f>
        <v>1</v>
      </c>
      <c r="B49" s="13" t="str">
        <f t="shared" ref="B49:B50" si="10">CONCATENATE("0",A49,"-R-MIN-SAN-GEN")</f>
        <v>01-R-MIN-SAN-GEN</v>
      </c>
      <c r="C49" s="18" t="s">
        <v>65</v>
      </c>
      <c r="D49" s="13" t="s">
        <v>12</v>
      </c>
      <c r="E49" s="13" t="s">
        <v>12</v>
      </c>
      <c r="F49" s="14"/>
      <c r="G49" s="5"/>
      <c r="H49" s="5"/>
      <c r="I49" s="5"/>
      <c r="J49" s="5"/>
      <c r="K49" s="5"/>
      <c r="L49" s="5"/>
      <c r="M49" s="5"/>
      <c r="N49" s="5"/>
      <c r="O49" s="5"/>
      <c r="P49" s="5"/>
      <c r="Q49" s="5"/>
      <c r="R49" s="5"/>
      <c r="S49" s="5"/>
      <c r="T49" s="5"/>
      <c r="U49" s="5"/>
      <c r="V49" s="5"/>
      <c r="W49" s="5"/>
      <c r="X49" s="5"/>
      <c r="Y49" s="5"/>
      <c r="Z49" s="5"/>
    </row>
    <row r="50" ht="60.0" customHeight="1">
      <c r="A50" s="10">
        <f>A49+1</f>
        <v>2</v>
      </c>
      <c r="B50" s="13" t="str">
        <f t="shared" si="10"/>
        <v>02-R-MIN-SAN-GEN</v>
      </c>
      <c r="C50" s="18" t="s">
        <v>66</v>
      </c>
      <c r="D50" s="13" t="s">
        <v>12</v>
      </c>
      <c r="E50" s="13" t="s">
        <v>12</v>
      </c>
      <c r="F50" s="14"/>
      <c r="G50" s="5"/>
      <c r="H50" s="5"/>
      <c r="I50" s="5"/>
      <c r="J50" s="5"/>
      <c r="K50" s="5"/>
      <c r="L50" s="5"/>
      <c r="M50" s="5"/>
      <c r="N50" s="5"/>
      <c r="O50" s="5"/>
      <c r="P50" s="5"/>
      <c r="Q50" s="5"/>
      <c r="R50" s="5"/>
      <c r="S50" s="5"/>
      <c r="T50" s="5"/>
      <c r="U50" s="5"/>
      <c r="V50" s="5"/>
      <c r="W50" s="5"/>
      <c r="X50" s="5"/>
      <c r="Y50" s="5"/>
      <c r="Z50" s="5"/>
    </row>
    <row r="51" ht="15.75" customHeight="1">
      <c r="A51" s="5"/>
      <c r="B51" s="21" t="s">
        <v>67</v>
      </c>
      <c r="C51" s="22"/>
      <c r="D51" s="22"/>
      <c r="E51" s="22"/>
      <c r="F51" s="22"/>
      <c r="G51" s="5"/>
      <c r="H51" s="5"/>
      <c r="I51" s="5"/>
      <c r="J51" s="5"/>
      <c r="K51" s="5"/>
      <c r="L51" s="5"/>
      <c r="M51" s="5"/>
      <c r="N51" s="5"/>
      <c r="O51" s="5"/>
      <c r="P51" s="5"/>
      <c r="Q51" s="5"/>
      <c r="R51" s="5"/>
      <c r="S51" s="5"/>
      <c r="T51" s="5"/>
      <c r="U51" s="5"/>
      <c r="V51" s="5"/>
      <c r="W51" s="5"/>
      <c r="X51" s="5"/>
      <c r="Y51" s="5"/>
      <c r="Z51" s="5"/>
    </row>
    <row r="52" ht="15.75" customHeight="1">
      <c r="A52" s="10">
        <f>0+1</f>
        <v>1</v>
      </c>
      <c r="B52" s="13" t="str">
        <f t="shared" ref="B52:B53" si="11">CONCATENATE("0",A52,"-R-MIN-SAN-CPY")</f>
        <v>01-R-MIN-SAN-CPY</v>
      </c>
      <c r="C52" s="18" t="s">
        <v>68</v>
      </c>
      <c r="D52" s="13" t="s">
        <v>12</v>
      </c>
      <c r="E52" s="13" t="s">
        <v>12</v>
      </c>
      <c r="F52" s="14"/>
      <c r="G52" s="5"/>
      <c r="H52" s="5"/>
      <c r="I52" s="5"/>
      <c r="J52" s="5"/>
      <c r="K52" s="5"/>
      <c r="L52" s="5"/>
      <c r="M52" s="5"/>
      <c r="N52" s="5"/>
      <c r="O52" s="5"/>
      <c r="P52" s="5"/>
      <c r="Q52" s="5"/>
      <c r="R52" s="5"/>
      <c r="S52" s="5"/>
      <c r="T52" s="5"/>
      <c r="U52" s="5"/>
      <c r="V52" s="5"/>
      <c r="W52" s="5"/>
      <c r="X52" s="5"/>
      <c r="Y52" s="5"/>
      <c r="Z52" s="5"/>
    </row>
    <row r="53" ht="15.75" customHeight="1">
      <c r="A53" s="10">
        <f>A52+1</f>
        <v>2</v>
      </c>
      <c r="B53" s="13" t="str">
        <f t="shared" si="11"/>
        <v>02-R-MIN-SAN-CPY</v>
      </c>
      <c r="C53" s="18" t="s">
        <v>69</v>
      </c>
      <c r="D53" s="13" t="s">
        <v>12</v>
      </c>
      <c r="E53" s="13" t="s">
        <v>12</v>
      </c>
      <c r="F53" s="14"/>
      <c r="G53" s="5"/>
      <c r="H53" s="5"/>
      <c r="I53" s="5"/>
      <c r="J53" s="5"/>
      <c r="K53" s="5"/>
      <c r="L53" s="5"/>
      <c r="M53" s="5"/>
      <c r="N53" s="5"/>
      <c r="O53" s="5"/>
      <c r="P53" s="5"/>
      <c r="Q53" s="5"/>
      <c r="R53" s="5"/>
      <c r="S53" s="5"/>
      <c r="T53" s="5"/>
      <c r="U53" s="5"/>
      <c r="V53" s="5"/>
      <c r="W53" s="5"/>
      <c r="X53" s="5"/>
      <c r="Y53" s="5"/>
      <c r="Z53" s="5"/>
    </row>
    <row r="54" ht="15.75" customHeight="1">
      <c r="A54" s="5"/>
      <c r="B54" s="21" t="s">
        <v>70</v>
      </c>
      <c r="C54" s="22"/>
      <c r="D54" s="22"/>
      <c r="E54" s="22"/>
      <c r="F54" s="22"/>
      <c r="G54" s="5"/>
      <c r="H54" s="5"/>
      <c r="I54" s="5"/>
      <c r="J54" s="5"/>
      <c r="K54" s="5"/>
      <c r="L54" s="5"/>
      <c r="M54" s="5"/>
      <c r="N54" s="5"/>
      <c r="O54" s="5"/>
      <c r="P54" s="5"/>
      <c r="Q54" s="5"/>
      <c r="R54" s="5"/>
      <c r="S54" s="5"/>
      <c r="T54" s="5"/>
      <c r="U54" s="5"/>
      <c r="V54" s="5"/>
      <c r="W54" s="5"/>
      <c r="X54" s="5"/>
      <c r="Y54" s="5"/>
      <c r="Z54" s="5"/>
    </row>
    <row r="55" ht="15.75" customHeight="1">
      <c r="A55" s="10">
        <f>0+1</f>
        <v>1</v>
      </c>
      <c r="B55" s="13" t="str">
        <f>CONCATENATE("0",A55,"-R-MIN-SAN-PRE")</f>
        <v>01-R-MIN-SAN-PRE</v>
      </c>
      <c r="C55" s="18" t="s">
        <v>71</v>
      </c>
      <c r="D55" s="13" t="s">
        <v>12</v>
      </c>
      <c r="E55" s="13" t="s">
        <v>12</v>
      </c>
      <c r="F55" s="14"/>
      <c r="G55" s="5"/>
      <c r="H55" s="5"/>
      <c r="I55" s="5"/>
      <c r="J55" s="5"/>
      <c r="K55" s="5"/>
      <c r="L55" s="5"/>
      <c r="M55" s="5"/>
      <c r="N55" s="5"/>
      <c r="O55" s="5"/>
      <c r="P55" s="5"/>
      <c r="Q55" s="5"/>
      <c r="R55" s="5"/>
      <c r="S55" s="5"/>
      <c r="T55" s="5"/>
      <c r="U55" s="5"/>
      <c r="V55" s="5"/>
      <c r="W55" s="5"/>
      <c r="X55" s="5"/>
      <c r="Y55" s="5"/>
      <c r="Z55" s="5"/>
    </row>
    <row r="56" ht="15.75" customHeight="1">
      <c r="A56" s="5"/>
      <c r="B56" s="21" t="s">
        <v>14</v>
      </c>
      <c r="C56" s="22"/>
      <c r="D56" s="22"/>
      <c r="E56" s="22"/>
      <c r="F56" s="22"/>
      <c r="G56" s="5"/>
      <c r="H56" s="5"/>
      <c r="I56" s="5"/>
      <c r="J56" s="5"/>
      <c r="K56" s="5"/>
      <c r="L56" s="5"/>
      <c r="M56" s="5"/>
      <c r="N56" s="5"/>
      <c r="O56" s="5"/>
      <c r="P56" s="5"/>
      <c r="Q56" s="5"/>
      <c r="R56" s="5"/>
      <c r="S56" s="5"/>
      <c r="T56" s="5"/>
      <c r="U56" s="5"/>
      <c r="V56" s="5"/>
      <c r="W56" s="5"/>
      <c r="X56" s="5"/>
      <c r="Y56" s="5"/>
      <c r="Z56" s="5"/>
    </row>
    <row r="57" ht="15.75" customHeight="1">
      <c r="A57" s="10">
        <f>0+1</f>
        <v>1</v>
      </c>
      <c r="B57" s="13" t="str">
        <f t="shared" ref="B57:B65" si="12">CONCATENATE("0",A57,"-R-MIN-SAN-ARC")</f>
        <v>01-R-MIN-SAN-ARC</v>
      </c>
      <c r="C57" s="18" t="s">
        <v>72</v>
      </c>
      <c r="D57" s="13" t="s">
        <v>12</v>
      </c>
      <c r="E57" s="13" t="s">
        <v>12</v>
      </c>
      <c r="F57" s="14"/>
      <c r="G57" s="5"/>
      <c r="H57" s="5"/>
      <c r="I57" s="5"/>
      <c r="J57" s="5"/>
      <c r="K57" s="5"/>
      <c r="L57" s="5"/>
      <c r="M57" s="5"/>
      <c r="N57" s="5"/>
      <c r="O57" s="5"/>
      <c r="P57" s="5"/>
      <c r="Q57" s="5"/>
      <c r="R57" s="5"/>
      <c r="S57" s="5"/>
      <c r="T57" s="5"/>
      <c r="U57" s="5"/>
      <c r="V57" s="5"/>
      <c r="W57" s="5"/>
      <c r="X57" s="5"/>
      <c r="Y57" s="5"/>
      <c r="Z57" s="5"/>
    </row>
    <row r="58" ht="15.75" customHeight="1">
      <c r="A58" s="10">
        <f t="shared" ref="A58:A66" si="13">A57+1</f>
        <v>2</v>
      </c>
      <c r="B58" s="13" t="str">
        <f t="shared" si="12"/>
        <v>02-R-MIN-SAN-ARC</v>
      </c>
      <c r="C58" s="18" t="s">
        <v>73</v>
      </c>
      <c r="D58" s="13"/>
      <c r="E58" s="13"/>
      <c r="F58" s="14"/>
      <c r="G58" s="5"/>
      <c r="H58" s="5"/>
      <c r="I58" s="5"/>
      <c r="J58" s="5"/>
      <c r="K58" s="5"/>
      <c r="L58" s="5"/>
      <c r="M58" s="5"/>
      <c r="N58" s="5"/>
      <c r="O58" s="5"/>
      <c r="P58" s="5"/>
      <c r="Q58" s="5"/>
      <c r="R58" s="5"/>
      <c r="S58" s="5"/>
      <c r="T58" s="5"/>
      <c r="U58" s="5"/>
      <c r="V58" s="5"/>
      <c r="W58" s="5"/>
      <c r="X58" s="5"/>
      <c r="Y58" s="5"/>
      <c r="Z58" s="5"/>
    </row>
    <row r="59" ht="15.75" customHeight="1">
      <c r="A59" s="10">
        <f t="shared" si="13"/>
        <v>3</v>
      </c>
      <c r="B59" s="13" t="str">
        <f t="shared" si="12"/>
        <v>03-R-MIN-SAN-ARC</v>
      </c>
      <c r="C59" s="18" t="s">
        <v>74</v>
      </c>
      <c r="D59" s="13" t="s">
        <v>12</v>
      </c>
      <c r="E59" s="13" t="s">
        <v>12</v>
      </c>
      <c r="F59" s="14"/>
      <c r="G59" s="5"/>
      <c r="H59" s="5"/>
      <c r="I59" s="5"/>
      <c r="J59" s="5"/>
      <c r="K59" s="5"/>
      <c r="L59" s="5"/>
      <c r="M59" s="5"/>
      <c r="N59" s="5"/>
      <c r="O59" s="5"/>
      <c r="P59" s="5"/>
      <c r="Q59" s="5"/>
      <c r="R59" s="5"/>
      <c r="S59" s="5"/>
      <c r="T59" s="5"/>
      <c r="U59" s="5"/>
      <c r="V59" s="5"/>
      <c r="W59" s="5"/>
      <c r="X59" s="5"/>
      <c r="Y59" s="5"/>
      <c r="Z59" s="5"/>
    </row>
    <row r="60" ht="15.75" customHeight="1">
      <c r="A60" s="10">
        <f t="shared" si="13"/>
        <v>4</v>
      </c>
      <c r="B60" s="13" t="str">
        <f t="shared" si="12"/>
        <v>04-R-MIN-SAN-ARC</v>
      </c>
      <c r="C60" s="18" t="s">
        <v>75</v>
      </c>
      <c r="D60" s="13" t="s">
        <v>12</v>
      </c>
      <c r="E60" s="13" t="s">
        <v>12</v>
      </c>
      <c r="F60" s="14"/>
      <c r="G60" s="5"/>
      <c r="H60" s="5"/>
      <c r="I60" s="5"/>
      <c r="J60" s="5"/>
      <c r="K60" s="5"/>
      <c r="L60" s="5"/>
      <c r="M60" s="5"/>
      <c r="N60" s="5"/>
      <c r="O60" s="5"/>
      <c r="P60" s="5"/>
      <c r="Q60" s="5"/>
      <c r="R60" s="5"/>
      <c r="S60" s="5"/>
      <c r="T60" s="5"/>
      <c r="U60" s="5"/>
      <c r="V60" s="5"/>
      <c r="W60" s="5"/>
      <c r="X60" s="5"/>
      <c r="Y60" s="5"/>
      <c r="Z60" s="5"/>
    </row>
    <row r="61" ht="15.75" customHeight="1">
      <c r="A61" s="10">
        <f t="shared" si="13"/>
        <v>5</v>
      </c>
      <c r="B61" s="13" t="str">
        <f t="shared" si="12"/>
        <v>05-R-MIN-SAN-ARC</v>
      </c>
      <c r="C61" s="18" t="s">
        <v>76</v>
      </c>
      <c r="D61" s="13" t="s">
        <v>12</v>
      </c>
      <c r="E61" s="13" t="s">
        <v>12</v>
      </c>
      <c r="F61" s="14"/>
      <c r="G61" s="5"/>
      <c r="H61" s="5"/>
      <c r="I61" s="5"/>
      <c r="J61" s="5"/>
      <c r="K61" s="5"/>
      <c r="L61" s="5"/>
      <c r="M61" s="5"/>
      <c r="N61" s="5"/>
      <c r="O61" s="5"/>
      <c r="P61" s="5"/>
      <c r="Q61" s="5"/>
      <c r="R61" s="5"/>
      <c r="S61" s="5"/>
      <c r="T61" s="5"/>
      <c r="U61" s="5"/>
      <c r="V61" s="5"/>
      <c r="W61" s="5"/>
      <c r="X61" s="5"/>
      <c r="Y61" s="5"/>
      <c r="Z61" s="5"/>
    </row>
    <row r="62" ht="15.75" customHeight="1">
      <c r="A62" s="10">
        <f t="shared" si="13"/>
        <v>6</v>
      </c>
      <c r="B62" s="13" t="str">
        <f t="shared" si="12"/>
        <v>06-R-MIN-SAN-ARC</v>
      </c>
      <c r="C62" s="18" t="s">
        <v>77</v>
      </c>
      <c r="D62" s="13" t="s">
        <v>12</v>
      </c>
      <c r="E62" s="13" t="s">
        <v>12</v>
      </c>
      <c r="F62" s="14"/>
      <c r="G62" s="5"/>
      <c r="H62" s="5"/>
      <c r="I62" s="5"/>
      <c r="J62" s="5"/>
      <c r="K62" s="5"/>
      <c r="L62" s="5"/>
      <c r="M62" s="5"/>
      <c r="N62" s="5"/>
      <c r="O62" s="5"/>
      <c r="P62" s="5"/>
      <c r="Q62" s="5"/>
      <c r="R62" s="5"/>
      <c r="S62" s="5"/>
      <c r="T62" s="5"/>
      <c r="U62" s="5"/>
      <c r="V62" s="5"/>
      <c r="W62" s="5"/>
      <c r="X62" s="5"/>
      <c r="Y62" s="5"/>
      <c r="Z62" s="5"/>
    </row>
    <row r="63" ht="15.75" customHeight="1">
      <c r="A63" s="10">
        <f t="shared" si="13"/>
        <v>7</v>
      </c>
      <c r="B63" s="13" t="str">
        <f t="shared" si="12"/>
        <v>07-R-MIN-SAN-ARC</v>
      </c>
      <c r="C63" s="18" t="s">
        <v>78</v>
      </c>
      <c r="D63" s="13" t="s">
        <v>12</v>
      </c>
      <c r="E63" s="13" t="s">
        <v>12</v>
      </c>
      <c r="F63" s="14"/>
      <c r="G63" s="5"/>
      <c r="H63" s="5"/>
      <c r="I63" s="5"/>
      <c r="J63" s="5"/>
      <c r="K63" s="5"/>
      <c r="L63" s="5"/>
      <c r="M63" s="5"/>
      <c r="N63" s="5"/>
      <c r="O63" s="5"/>
      <c r="P63" s="5"/>
      <c r="Q63" s="5"/>
      <c r="R63" s="5"/>
      <c r="S63" s="5"/>
      <c r="T63" s="5"/>
      <c r="U63" s="5"/>
      <c r="V63" s="5"/>
      <c r="W63" s="5"/>
      <c r="X63" s="5"/>
      <c r="Y63" s="5"/>
      <c r="Z63" s="5"/>
    </row>
    <row r="64" ht="15.75" customHeight="1">
      <c r="A64" s="10">
        <f t="shared" si="13"/>
        <v>8</v>
      </c>
      <c r="B64" s="13" t="str">
        <f t="shared" si="12"/>
        <v>08-R-MIN-SAN-ARC</v>
      </c>
      <c r="C64" s="18" t="s">
        <v>79</v>
      </c>
      <c r="D64" s="13" t="s">
        <v>12</v>
      </c>
      <c r="E64" s="13" t="s">
        <v>12</v>
      </c>
      <c r="F64" s="14"/>
      <c r="G64" s="5"/>
      <c r="H64" s="5"/>
      <c r="I64" s="5"/>
      <c r="J64" s="5"/>
      <c r="K64" s="5"/>
      <c r="L64" s="5"/>
      <c r="M64" s="5"/>
      <c r="N64" s="5"/>
      <c r="O64" s="5"/>
      <c r="P64" s="5"/>
      <c r="Q64" s="5"/>
      <c r="R64" s="5"/>
      <c r="S64" s="5"/>
      <c r="T64" s="5"/>
      <c r="U64" s="5"/>
      <c r="V64" s="5"/>
      <c r="W64" s="5"/>
      <c r="X64" s="5"/>
      <c r="Y64" s="5"/>
      <c r="Z64" s="5"/>
    </row>
    <row r="65" ht="15.75" customHeight="1">
      <c r="A65" s="10">
        <f t="shared" si="13"/>
        <v>9</v>
      </c>
      <c r="B65" s="13" t="str">
        <f t="shared" si="12"/>
        <v>09-R-MIN-SAN-ARC</v>
      </c>
      <c r="C65" s="18" t="s">
        <v>80</v>
      </c>
      <c r="D65" s="13" t="s">
        <v>12</v>
      </c>
      <c r="E65" s="13" t="s">
        <v>12</v>
      </c>
      <c r="F65" s="14"/>
      <c r="G65" s="5"/>
      <c r="H65" s="5"/>
      <c r="I65" s="5"/>
      <c r="J65" s="5"/>
      <c r="K65" s="5"/>
      <c r="L65" s="5"/>
      <c r="M65" s="5"/>
      <c r="N65" s="5"/>
      <c r="O65" s="5"/>
      <c r="P65" s="5"/>
      <c r="Q65" s="5"/>
      <c r="R65" s="5"/>
      <c r="S65" s="5"/>
      <c r="T65" s="5"/>
      <c r="U65" s="5"/>
      <c r="V65" s="5"/>
      <c r="W65" s="5"/>
      <c r="X65" s="5"/>
      <c r="Y65" s="5"/>
      <c r="Z65" s="5"/>
    </row>
    <row r="66" ht="15.75" customHeight="1">
      <c r="A66" s="10">
        <f t="shared" si="13"/>
        <v>10</v>
      </c>
      <c r="B66" s="13" t="str">
        <f>CONCATENATE(A66,"-R-MIN-SAN-ARC")</f>
        <v>10-R-MIN-SAN-ARC</v>
      </c>
      <c r="C66" s="18" t="s">
        <v>81</v>
      </c>
      <c r="D66" s="13" t="s">
        <v>12</v>
      </c>
      <c r="E66" s="13" t="s">
        <v>12</v>
      </c>
      <c r="F66" s="14"/>
      <c r="G66" s="5"/>
      <c r="H66" s="5"/>
      <c r="I66" s="5"/>
      <c r="J66" s="5"/>
      <c r="K66" s="5"/>
      <c r="L66" s="5"/>
      <c r="M66" s="5"/>
      <c r="N66" s="5"/>
      <c r="O66" s="5"/>
      <c r="P66" s="5"/>
      <c r="Q66" s="5"/>
      <c r="R66" s="5"/>
      <c r="S66" s="5"/>
      <c r="T66" s="5"/>
      <c r="U66" s="5"/>
      <c r="V66" s="5"/>
      <c r="W66" s="5"/>
      <c r="X66" s="5"/>
      <c r="Y66" s="5"/>
      <c r="Z66" s="5"/>
    </row>
    <row r="67" ht="15.75" customHeight="1">
      <c r="A67" s="5"/>
      <c r="B67" s="21" t="s">
        <v>82</v>
      </c>
      <c r="C67" s="22"/>
      <c r="D67" s="22"/>
      <c r="E67" s="22"/>
      <c r="F67" s="22"/>
      <c r="G67" s="5"/>
      <c r="H67" s="5"/>
      <c r="I67" s="5"/>
      <c r="J67" s="5"/>
      <c r="K67" s="5"/>
      <c r="L67" s="5"/>
      <c r="M67" s="5"/>
      <c r="N67" s="5"/>
      <c r="O67" s="5"/>
      <c r="P67" s="5"/>
      <c r="Q67" s="5"/>
      <c r="R67" s="5"/>
      <c r="S67" s="5"/>
      <c r="T67" s="5"/>
      <c r="U67" s="5"/>
      <c r="V67" s="5"/>
      <c r="W67" s="5"/>
      <c r="X67" s="5"/>
      <c r="Y67" s="5"/>
      <c r="Z67" s="5"/>
    </row>
    <row r="68" ht="15.75" customHeight="1">
      <c r="A68" s="10">
        <f>0+1</f>
        <v>1</v>
      </c>
      <c r="B68" s="13" t="str">
        <f t="shared" ref="B68:B74" si="14">CONCATENATE("0",A68,"-R-MIN-SAN-SBY")</f>
        <v>01-R-MIN-SAN-SBY</v>
      </c>
      <c r="C68" s="18" t="s">
        <v>83</v>
      </c>
      <c r="D68" s="13" t="s">
        <v>12</v>
      </c>
      <c r="E68" s="13" t="s">
        <v>12</v>
      </c>
      <c r="F68" s="14"/>
      <c r="G68" s="5"/>
      <c r="H68" s="5"/>
      <c r="I68" s="5"/>
      <c r="J68" s="5"/>
      <c r="K68" s="5"/>
      <c r="L68" s="5"/>
      <c r="M68" s="5"/>
      <c r="N68" s="5"/>
      <c r="O68" s="5"/>
      <c r="P68" s="5"/>
      <c r="Q68" s="5"/>
      <c r="R68" s="5"/>
      <c r="S68" s="5"/>
      <c r="T68" s="5"/>
      <c r="U68" s="5"/>
      <c r="V68" s="5"/>
      <c r="W68" s="5"/>
      <c r="X68" s="5"/>
      <c r="Y68" s="5"/>
      <c r="Z68" s="5"/>
    </row>
    <row r="69" ht="15.75" customHeight="1">
      <c r="A69" s="10">
        <f t="shared" ref="A69:A74" si="15">A68+1</f>
        <v>2</v>
      </c>
      <c r="B69" s="13" t="str">
        <f t="shared" si="14"/>
        <v>02-R-MIN-SAN-SBY</v>
      </c>
      <c r="C69" s="18" t="s">
        <v>84</v>
      </c>
      <c r="D69" s="13" t="s">
        <v>12</v>
      </c>
      <c r="E69" s="13" t="s">
        <v>12</v>
      </c>
      <c r="F69" s="14"/>
      <c r="G69" s="5"/>
      <c r="H69" s="5"/>
      <c r="I69" s="5"/>
      <c r="J69" s="5"/>
      <c r="K69" s="5"/>
      <c r="L69" s="5"/>
      <c r="M69" s="5"/>
      <c r="N69" s="5"/>
      <c r="O69" s="5"/>
      <c r="P69" s="5"/>
      <c r="Q69" s="5"/>
      <c r="R69" s="5"/>
      <c r="S69" s="5"/>
      <c r="T69" s="5"/>
      <c r="U69" s="5"/>
      <c r="V69" s="5"/>
      <c r="W69" s="5"/>
      <c r="X69" s="5"/>
      <c r="Y69" s="5"/>
      <c r="Z69" s="5"/>
    </row>
    <row r="70" ht="15.75" customHeight="1">
      <c r="A70" s="10">
        <f t="shared" si="15"/>
        <v>3</v>
      </c>
      <c r="B70" s="13" t="str">
        <f t="shared" si="14"/>
        <v>03-R-MIN-SAN-SBY</v>
      </c>
      <c r="C70" s="18" t="s">
        <v>85</v>
      </c>
      <c r="D70" s="13" t="s">
        <v>12</v>
      </c>
      <c r="E70" s="13" t="s">
        <v>12</v>
      </c>
      <c r="F70" s="14"/>
      <c r="G70" s="5"/>
      <c r="H70" s="5"/>
      <c r="I70" s="5"/>
      <c r="J70" s="5"/>
      <c r="K70" s="5"/>
      <c r="L70" s="5"/>
      <c r="M70" s="5"/>
      <c r="N70" s="5"/>
      <c r="O70" s="5"/>
      <c r="P70" s="5"/>
      <c r="Q70" s="5"/>
      <c r="R70" s="5"/>
      <c r="S70" s="5"/>
      <c r="T70" s="5"/>
      <c r="U70" s="5"/>
      <c r="V70" s="5"/>
      <c r="W70" s="5"/>
      <c r="X70" s="5"/>
      <c r="Y70" s="5"/>
      <c r="Z70" s="5"/>
    </row>
    <row r="71" ht="15.75" customHeight="1">
      <c r="A71" s="10">
        <f t="shared" si="15"/>
        <v>4</v>
      </c>
      <c r="B71" s="13" t="str">
        <f t="shared" si="14"/>
        <v>04-R-MIN-SAN-SBY</v>
      </c>
      <c r="C71" s="18" t="s">
        <v>86</v>
      </c>
      <c r="D71" s="13" t="s">
        <v>12</v>
      </c>
      <c r="E71" s="13" t="s">
        <v>12</v>
      </c>
      <c r="F71" s="14"/>
      <c r="G71" s="5"/>
      <c r="H71" s="5"/>
      <c r="I71" s="5"/>
      <c r="J71" s="5"/>
      <c r="K71" s="5"/>
      <c r="L71" s="5"/>
      <c r="M71" s="5"/>
      <c r="N71" s="5"/>
      <c r="O71" s="5"/>
      <c r="P71" s="5"/>
      <c r="Q71" s="5"/>
      <c r="R71" s="5"/>
      <c r="S71" s="5"/>
      <c r="T71" s="5"/>
      <c r="U71" s="5"/>
      <c r="V71" s="5"/>
      <c r="W71" s="5"/>
      <c r="X71" s="5"/>
      <c r="Y71" s="5"/>
      <c r="Z71" s="5"/>
    </row>
    <row r="72" ht="15.75" customHeight="1">
      <c r="A72" s="10">
        <f t="shared" si="15"/>
        <v>5</v>
      </c>
      <c r="B72" s="13" t="str">
        <f t="shared" si="14"/>
        <v>05-R-MIN-SAN-SBY</v>
      </c>
      <c r="C72" s="18" t="s">
        <v>87</v>
      </c>
      <c r="D72" s="13" t="s">
        <v>12</v>
      </c>
      <c r="E72" s="13" t="s">
        <v>12</v>
      </c>
      <c r="F72" s="14"/>
      <c r="G72" s="5"/>
      <c r="H72" s="5"/>
      <c r="I72" s="5"/>
      <c r="J72" s="5"/>
      <c r="K72" s="5"/>
      <c r="L72" s="5"/>
      <c r="M72" s="5"/>
      <c r="N72" s="5"/>
      <c r="O72" s="5"/>
      <c r="P72" s="5"/>
      <c r="Q72" s="5"/>
      <c r="R72" s="5"/>
      <c r="S72" s="5"/>
      <c r="T72" s="5"/>
      <c r="U72" s="5"/>
      <c r="V72" s="5"/>
      <c r="W72" s="5"/>
      <c r="X72" s="5"/>
      <c r="Y72" s="5"/>
      <c r="Z72" s="5"/>
    </row>
    <row r="73" ht="15.75" customHeight="1">
      <c r="A73" s="10">
        <f t="shared" si="15"/>
        <v>6</v>
      </c>
      <c r="B73" s="13" t="str">
        <f t="shared" si="14"/>
        <v>06-R-MIN-SAN-SBY</v>
      </c>
      <c r="C73" s="18" t="s">
        <v>88</v>
      </c>
      <c r="D73" s="13" t="s">
        <v>12</v>
      </c>
      <c r="E73" s="13" t="s">
        <v>12</v>
      </c>
      <c r="F73" s="14"/>
      <c r="G73" s="5"/>
      <c r="H73" s="5"/>
      <c r="I73" s="5"/>
      <c r="J73" s="5"/>
      <c r="K73" s="5"/>
      <c r="L73" s="5"/>
      <c r="M73" s="5"/>
      <c r="N73" s="5"/>
      <c r="O73" s="5"/>
      <c r="P73" s="5"/>
      <c r="Q73" s="5"/>
      <c r="R73" s="5"/>
      <c r="S73" s="5"/>
      <c r="T73" s="5"/>
      <c r="U73" s="5"/>
      <c r="V73" s="5"/>
      <c r="W73" s="5"/>
      <c r="X73" s="5"/>
      <c r="Y73" s="5"/>
      <c r="Z73" s="5"/>
    </row>
    <row r="74" ht="15.75" customHeight="1">
      <c r="A74" s="10">
        <f t="shared" si="15"/>
        <v>7</v>
      </c>
      <c r="B74" s="13" t="str">
        <f t="shared" si="14"/>
        <v>07-R-MIN-SAN-SBY</v>
      </c>
      <c r="C74" s="18" t="s">
        <v>89</v>
      </c>
      <c r="D74" s="13" t="s">
        <v>12</v>
      </c>
      <c r="E74" s="13" t="s">
        <v>12</v>
      </c>
      <c r="F74" s="14"/>
      <c r="G74" s="27"/>
      <c r="H74" s="5"/>
      <c r="I74" s="5"/>
      <c r="J74" s="5"/>
      <c r="K74" s="5"/>
      <c r="L74" s="5"/>
      <c r="M74" s="5"/>
      <c r="N74" s="5"/>
      <c r="O74" s="5"/>
      <c r="P74" s="5"/>
      <c r="Q74" s="5"/>
      <c r="R74" s="5"/>
      <c r="S74" s="5"/>
      <c r="T74" s="5"/>
      <c r="U74" s="5"/>
      <c r="V74" s="5"/>
      <c r="W74" s="5"/>
      <c r="X74" s="5"/>
      <c r="Y74" s="5"/>
      <c r="Z74" s="5"/>
    </row>
    <row r="75" ht="15.75" customHeight="1">
      <c r="A75" s="5"/>
      <c r="B75" s="21" t="s">
        <v>90</v>
      </c>
      <c r="C75" s="22"/>
      <c r="D75" s="22"/>
      <c r="E75" s="22"/>
      <c r="F75" s="22"/>
      <c r="G75" s="5"/>
      <c r="H75" s="5"/>
      <c r="I75" s="5"/>
      <c r="J75" s="5"/>
      <c r="K75" s="5"/>
      <c r="L75" s="5"/>
      <c r="M75" s="5"/>
      <c r="N75" s="5"/>
      <c r="O75" s="5"/>
      <c r="P75" s="5"/>
      <c r="Q75" s="5"/>
      <c r="R75" s="5"/>
      <c r="S75" s="5"/>
      <c r="T75" s="5"/>
      <c r="U75" s="5"/>
      <c r="V75" s="5"/>
      <c r="W75" s="5"/>
      <c r="X75" s="5"/>
      <c r="Y75" s="5"/>
      <c r="Z75" s="5"/>
    </row>
    <row r="76" ht="15.75" customHeight="1">
      <c r="A76" s="10">
        <f>0+1</f>
        <v>1</v>
      </c>
      <c r="B76" s="13" t="str">
        <f t="shared" ref="B76:B79" si="16">CONCATENATE("0",A76,"-R-MIN-SAN-AVY")</f>
        <v>01-R-MIN-SAN-AVY</v>
      </c>
      <c r="C76" s="18" t="s">
        <v>91</v>
      </c>
      <c r="D76" s="13" t="s">
        <v>12</v>
      </c>
      <c r="E76" s="13" t="s">
        <v>12</v>
      </c>
      <c r="F76" s="14"/>
      <c r="G76" s="5"/>
      <c r="H76" s="5"/>
      <c r="I76" s="5"/>
      <c r="J76" s="5"/>
      <c r="K76" s="5"/>
      <c r="L76" s="5"/>
      <c r="M76" s="5"/>
      <c r="N76" s="5"/>
      <c r="O76" s="5"/>
      <c r="P76" s="5"/>
      <c r="Q76" s="5"/>
      <c r="R76" s="5"/>
      <c r="S76" s="5"/>
      <c r="T76" s="5"/>
      <c r="U76" s="5"/>
      <c r="V76" s="5"/>
      <c r="W76" s="5"/>
      <c r="X76" s="5"/>
      <c r="Y76" s="5"/>
      <c r="Z76" s="5"/>
    </row>
    <row r="77" ht="15.75" customHeight="1">
      <c r="A77" s="10">
        <f t="shared" ref="A77:A79" si="17">A76+1</f>
        <v>2</v>
      </c>
      <c r="B77" s="13" t="str">
        <f t="shared" si="16"/>
        <v>02-R-MIN-SAN-AVY</v>
      </c>
      <c r="C77" s="18" t="s">
        <v>92</v>
      </c>
      <c r="D77" s="13" t="s">
        <v>12</v>
      </c>
      <c r="E77" s="13" t="s">
        <v>12</v>
      </c>
      <c r="F77" s="14"/>
      <c r="G77" s="5"/>
      <c r="H77" s="5"/>
      <c r="I77" s="5"/>
      <c r="J77" s="5"/>
      <c r="K77" s="5"/>
      <c r="L77" s="5"/>
      <c r="M77" s="5"/>
      <c r="N77" s="5"/>
      <c r="O77" s="5"/>
      <c r="P77" s="5"/>
      <c r="Q77" s="5"/>
      <c r="R77" s="5"/>
      <c r="S77" s="5"/>
      <c r="T77" s="5"/>
      <c r="U77" s="5"/>
      <c r="V77" s="5"/>
      <c r="W77" s="5"/>
      <c r="X77" s="5"/>
      <c r="Y77" s="5"/>
      <c r="Z77" s="5"/>
    </row>
    <row r="78" ht="15.75" customHeight="1">
      <c r="A78" s="10">
        <f t="shared" si="17"/>
        <v>3</v>
      </c>
      <c r="B78" s="13" t="str">
        <f t="shared" si="16"/>
        <v>03-R-MIN-SAN-AVY</v>
      </c>
      <c r="C78" s="18" t="s">
        <v>93</v>
      </c>
      <c r="D78" s="13" t="s">
        <v>12</v>
      </c>
      <c r="E78" s="13" t="s">
        <v>12</v>
      </c>
      <c r="F78" s="14"/>
      <c r="G78" s="5"/>
      <c r="H78" s="5"/>
      <c r="I78" s="5"/>
      <c r="J78" s="5"/>
      <c r="K78" s="5"/>
      <c r="L78" s="5"/>
      <c r="M78" s="5"/>
      <c r="N78" s="5"/>
      <c r="O78" s="5"/>
      <c r="P78" s="5"/>
      <c r="Q78" s="5"/>
      <c r="R78" s="5"/>
      <c r="S78" s="5"/>
      <c r="T78" s="5"/>
      <c r="U78" s="5"/>
      <c r="V78" s="5"/>
      <c r="W78" s="5"/>
      <c r="X78" s="5"/>
      <c r="Y78" s="5"/>
      <c r="Z78" s="5"/>
    </row>
    <row r="79" ht="84.0" customHeight="1">
      <c r="A79" s="10">
        <f t="shared" si="17"/>
        <v>4</v>
      </c>
      <c r="B79" s="13" t="str">
        <f t="shared" si="16"/>
        <v>04-R-MIN-SAN-AVY</v>
      </c>
      <c r="C79" s="18" t="s">
        <v>94</v>
      </c>
      <c r="D79" s="13" t="s">
        <v>12</v>
      </c>
      <c r="E79" s="13" t="s">
        <v>12</v>
      </c>
      <c r="F79" s="14"/>
      <c r="G79" s="5"/>
      <c r="H79" s="5"/>
      <c r="I79" s="5"/>
      <c r="J79" s="5"/>
      <c r="K79" s="5"/>
      <c r="L79" s="5"/>
      <c r="M79" s="5"/>
      <c r="N79" s="5"/>
      <c r="O79" s="5"/>
      <c r="P79" s="5"/>
      <c r="Q79" s="5"/>
      <c r="R79" s="5"/>
      <c r="S79" s="5"/>
      <c r="T79" s="5"/>
      <c r="U79" s="5"/>
      <c r="V79" s="5"/>
      <c r="W79" s="5"/>
      <c r="X79" s="5"/>
      <c r="Y79" s="5"/>
      <c r="Z79" s="5"/>
    </row>
    <row r="80" ht="15.75" customHeight="1">
      <c r="A80" s="5"/>
      <c r="B80" s="21" t="s">
        <v>95</v>
      </c>
      <c r="C80" s="22"/>
      <c r="D80" s="22"/>
      <c r="E80" s="22"/>
      <c r="F80" s="22"/>
      <c r="G80" s="5"/>
      <c r="H80" s="5"/>
      <c r="I80" s="5"/>
      <c r="J80" s="5"/>
      <c r="K80" s="5"/>
      <c r="L80" s="5"/>
      <c r="M80" s="5"/>
      <c r="N80" s="5"/>
      <c r="O80" s="5"/>
      <c r="P80" s="5"/>
      <c r="Q80" s="5"/>
      <c r="R80" s="5"/>
      <c r="S80" s="5"/>
      <c r="T80" s="5"/>
      <c r="U80" s="5"/>
      <c r="V80" s="5"/>
      <c r="W80" s="5"/>
      <c r="X80" s="5"/>
      <c r="Y80" s="5"/>
      <c r="Z80" s="5"/>
    </row>
    <row r="81" ht="15.75" customHeight="1">
      <c r="A81" s="10">
        <f>0+1</f>
        <v>1</v>
      </c>
      <c r="B81" s="13" t="str">
        <f t="shared" ref="B81:B83" si="18">CONCATENATE("0",A81,"-R-MIN-SAN-FXY")</f>
        <v>01-R-MIN-SAN-FXY</v>
      </c>
      <c r="C81" s="18" t="s">
        <v>96</v>
      </c>
      <c r="D81" s="13" t="s">
        <v>12</v>
      </c>
      <c r="E81" s="13" t="s">
        <v>12</v>
      </c>
      <c r="F81" s="14"/>
      <c r="G81" s="5"/>
      <c r="H81" s="5"/>
      <c r="I81" s="5"/>
      <c r="J81" s="5"/>
      <c r="K81" s="5"/>
      <c r="L81" s="5"/>
      <c r="M81" s="5"/>
      <c r="N81" s="5"/>
      <c r="O81" s="5"/>
      <c r="P81" s="5"/>
      <c r="Q81" s="5"/>
      <c r="R81" s="5"/>
      <c r="S81" s="5"/>
      <c r="T81" s="5"/>
      <c r="U81" s="5"/>
      <c r="V81" s="5"/>
      <c r="W81" s="5"/>
      <c r="X81" s="5"/>
      <c r="Y81" s="5"/>
      <c r="Z81" s="5"/>
    </row>
    <row r="82" ht="15.75" customHeight="1">
      <c r="A82" s="10">
        <f t="shared" ref="A82:A83" si="19">A81+1</f>
        <v>2</v>
      </c>
      <c r="B82" s="13" t="str">
        <f t="shared" si="18"/>
        <v>02-R-MIN-SAN-FXY</v>
      </c>
      <c r="C82" s="18" t="s">
        <v>97</v>
      </c>
      <c r="D82" s="13" t="s">
        <v>12</v>
      </c>
      <c r="E82" s="13" t="s">
        <v>12</v>
      </c>
      <c r="F82" s="14"/>
      <c r="G82" s="5"/>
      <c r="H82" s="5"/>
      <c r="I82" s="5"/>
      <c r="J82" s="5"/>
      <c r="K82" s="5"/>
      <c r="L82" s="5"/>
      <c r="M82" s="5"/>
      <c r="N82" s="5"/>
      <c r="O82" s="5"/>
      <c r="P82" s="5"/>
      <c r="Q82" s="5"/>
      <c r="R82" s="5"/>
      <c r="S82" s="5"/>
      <c r="T82" s="5"/>
      <c r="U82" s="5"/>
      <c r="V82" s="5"/>
      <c r="W82" s="5"/>
      <c r="X82" s="5"/>
      <c r="Y82" s="5"/>
      <c r="Z82" s="5"/>
    </row>
    <row r="83" ht="15.75" customHeight="1">
      <c r="A83" s="10">
        <f t="shared" si="19"/>
        <v>3</v>
      </c>
      <c r="B83" s="13" t="str">
        <f t="shared" si="18"/>
        <v>03-R-MIN-SAN-FXY</v>
      </c>
      <c r="C83" s="18" t="s">
        <v>98</v>
      </c>
      <c r="D83" s="13" t="s">
        <v>12</v>
      </c>
      <c r="E83" s="13" t="s">
        <v>12</v>
      </c>
      <c r="F83" s="14"/>
      <c r="G83" s="5"/>
      <c r="H83" s="5"/>
      <c r="I83" s="5"/>
      <c r="J83" s="5"/>
      <c r="K83" s="5"/>
      <c r="L83" s="5"/>
      <c r="M83" s="5"/>
      <c r="N83" s="5"/>
      <c r="O83" s="5"/>
      <c r="P83" s="5"/>
      <c r="Q83" s="5"/>
      <c r="R83" s="5"/>
      <c r="S83" s="5"/>
      <c r="T83" s="5"/>
      <c r="U83" s="5"/>
      <c r="V83" s="5"/>
      <c r="W83" s="5"/>
      <c r="X83" s="5"/>
      <c r="Y83" s="5"/>
      <c r="Z83" s="5"/>
    </row>
    <row r="84" ht="15.75" customHeight="1">
      <c r="A84" s="5"/>
      <c r="B84" s="21" t="s">
        <v>99</v>
      </c>
      <c r="C84" s="22"/>
      <c r="D84" s="22"/>
      <c r="E84" s="22"/>
      <c r="F84" s="22"/>
      <c r="G84" s="5"/>
      <c r="H84" s="5"/>
      <c r="I84" s="5"/>
      <c r="J84" s="5"/>
      <c r="K84" s="5"/>
      <c r="L84" s="5"/>
      <c r="M84" s="5"/>
      <c r="N84" s="5"/>
      <c r="O84" s="5"/>
      <c r="P84" s="5"/>
      <c r="Q84" s="5"/>
      <c r="R84" s="5"/>
      <c r="S84" s="5"/>
      <c r="T84" s="5"/>
      <c r="U84" s="5"/>
      <c r="V84" s="5"/>
      <c r="W84" s="5"/>
      <c r="X84" s="5"/>
      <c r="Y84" s="5"/>
      <c r="Z84" s="5"/>
    </row>
    <row r="85" ht="15.75" customHeight="1">
      <c r="A85" s="10">
        <f>0+1</f>
        <v>1</v>
      </c>
      <c r="B85" s="13" t="str">
        <f t="shared" ref="B85:B91" si="20">CONCATENATE("0",A85,"-R-MIN-SAN-EFY")</f>
        <v>01-R-MIN-SAN-EFY</v>
      </c>
      <c r="C85" s="18" t="s">
        <v>100</v>
      </c>
      <c r="D85" s="13" t="s">
        <v>12</v>
      </c>
      <c r="E85" s="13" t="s">
        <v>12</v>
      </c>
      <c r="F85" s="14"/>
      <c r="G85" s="5"/>
      <c r="H85" s="5"/>
      <c r="I85" s="5"/>
      <c r="J85" s="5"/>
      <c r="K85" s="5"/>
      <c r="L85" s="5"/>
      <c r="M85" s="5"/>
      <c r="N85" s="5"/>
      <c r="O85" s="5"/>
      <c r="P85" s="5"/>
      <c r="Q85" s="5"/>
      <c r="R85" s="5"/>
      <c r="S85" s="5"/>
      <c r="T85" s="5"/>
      <c r="U85" s="5"/>
      <c r="V85" s="5"/>
      <c r="W85" s="5"/>
      <c r="X85" s="5"/>
      <c r="Y85" s="5"/>
      <c r="Z85" s="5"/>
    </row>
    <row r="86" ht="15.75" customHeight="1">
      <c r="A86" s="10">
        <f t="shared" ref="A86:A91" si="21">A85+1</f>
        <v>2</v>
      </c>
      <c r="B86" s="13" t="str">
        <f t="shared" si="20"/>
        <v>02-R-MIN-SAN-EFY</v>
      </c>
      <c r="C86" s="18" t="s">
        <v>101</v>
      </c>
      <c r="D86" s="13" t="s">
        <v>12</v>
      </c>
      <c r="E86" s="13" t="s">
        <v>12</v>
      </c>
      <c r="F86" s="14"/>
      <c r="G86" s="5"/>
      <c r="H86" s="5"/>
      <c r="I86" s="5"/>
      <c r="J86" s="5"/>
      <c r="K86" s="5"/>
      <c r="L86" s="5"/>
      <c r="M86" s="5"/>
      <c r="N86" s="5"/>
      <c r="O86" s="5"/>
      <c r="P86" s="5"/>
      <c r="Q86" s="5"/>
      <c r="R86" s="5"/>
      <c r="S86" s="5"/>
      <c r="T86" s="5"/>
      <c r="U86" s="5"/>
      <c r="V86" s="5"/>
      <c r="W86" s="5"/>
      <c r="X86" s="5"/>
      <c r="Y86" s="5"/>
      <c r="Z86" s="5"/>
    </row>
    <row r="87" ht="15.75" customHeight="1">
      <c r="A87" s="10">
        <f t="shared" si="21"/>
        <v>3</v>
      </c>
      <c r="B87" s="13" t="str">
        <f t="shared" si="20"/>
        <v>03-R-MIN-SAN-EFY</v>
      </c>
      <c r="C87" s="18" t="s">
        <v>102</v>
      </c>
      <c r="D87" s="13" t="s">
        <v>12</v>
      </c>
      <c r="E87" s="13" t="s">
        <v>12</v>
      </c>
      <c r="F87" s="14"/>
      <c r="G87" s="5"/>
      <c r="H87" s="5"/>
      <c r="I87" s="5"/>
      <c r="J87" s="5"/>
      <c r="K87" s="5"/>
      <c r="L87" s="5"/>
      <c r="M87" s="5"/>
      <c r="N87" s="5"/>
      <c r="O87" s="5"/>
      <c r="P87" s="5"/>
      <c r="Q87" s="5"/>
      <c r="R87" s="5"/>
      <c r="S87" s="5"/>
      <c r="T87" s="5"/>
      <c r="U87" s="5"/>
      <c r="V87" s="5"/>
      <c r="W87" s="5"/>
      <c r="X87" s="5"/>
      <c r="Y87" s="5"/>
      <c r="Z87" s="5"/>
    </row>
    <row r="88" ht="15.75" customHeight="1">
      <c r="A88" s="10">
        <f t="shared" si="21"/>
        <v>4</v>
      </c>
      <c r="B88" s="13" t="str">
        <f t="shared" si="20"/>
        <v>04-R-MIN-SAN-EFY</v>
      </c>
      <c r="C88" s="18" t="s">
        <v>103</v>
      </c>
      <c r="D88" s="13" t="s">
        <v>12</v>
      </c>
      <c r="E88" s="13" t="s">
        <v>12</v>
      </c>
      <c r="F88" s="14"/>
      <c r="G88" s="5"/>
      <c r="H88" s="5"/>
      <c r="I88" s="5"/>
      <c r="J88" s="5"/>
      <c r="K88" s="5"/>
      <c r="L88" s="5"/>
      <c r="M88" s="5"/>
      <c r="N88" s="5"/>
      <c r="O88" s="5"/>
      <c r="P88" s="5"/>
      <c r="Q88" s="5"/>
      <c r="R88" s="5"/>
      <c r="S88" s="5"/>
      <c r="T88" s="5"/>
      <c r="U88" s="5"/>
      <c r="V88" s="5"/>
      <c r="W88" s="5"/>
      <c r="X88" s="5"/>
      <c r="Y88" s="5"/>
      <c r="Z88" s="5"/>
    </row>
    <row r="89" ht="15.75" customHeight="1">
      <c r="A89" s="10">
        <f t="shared" si="21"/>
        <v>5</v>
      </c>
      <c r="B89" s="13" t="str">
        <f t="shared" si="20"/>
        <v>05-R-MIN-SAN-EFY</v>
      </c>
      <c r="C89" s="18" t="s">
        <v>104</v>
      </c>
      <c r="D89" s="13" t="s">
        <v>12</v>
      </c>
      <c r="E89" s="13" t="s">
        <v>12</v>
      </c>
      <c r="F89" s="14"/>
      <c r="G89" s="5"/>
      <c r="H89" s="5"/>
      <c r="I89" s="5"/>
      <c r="J89" s="5"/>
      <c r="K89" s="5"/>
      <c r="L89" s="5"/>
      <c r="M89" s="5"/>
      <c r="N89" s="5"/>
      <c r="O89" s="5"/>
      <c r="P89" s="5"/>
      <c r="Q89" s="5"/>
      <c r="R89" s="5"/>
      <c r="S89" s="5"/>
      <c r="T89" s="5"/>
      <c r="U89" s="5"/>
      <c r="V89" s="5"/>
      <c r="W89" s="5"/>
      <c r="X89" s="5"/>
      <c r="Y89" s="5"/>
      <c r="Z89" s="5"/>
    </row>
    <row r="90" ht="15.75" customHeight="1">
      <c r="A90" s="10">
        <f t="shared" si="21"/>
        <v>6</v>
      </c>
      <c r="B90" s="13" t="str">
        <f t="shared" si="20"/>
        <v>06-R-MIN-SAN-EFY</v>
      </c>
      <c r="C90" s="18" t="s">
        <v>105</v>
      </c>
      <c r="D90" s="13" t="s">
        <v>12</v>
      </c>
      <c r="E90" s="13" t="s">
        <v>12</v>
      </c>
      <c r="F90" s="14"/>
      <c r="G90" s="5"/>
      <c r="H90" s="5"/>
      <c r="I90" s="5"/>
      <c r="J90" s="5"/>
      <c r="K90" s="5"/>
      <c r="L90" s="5"/>
      <c r="M90" s="5"/>
      <c r="N90" s="5"/>
      <c r="O90" s="5"/>
      <c r="P90" s="5"/>
      <c r="Q90" s="5"/>
      <c r="R90" s="5"/>
      <c r="S90" s="5"/>
      <c r="T90" s="5"/>
      <c r="U90" s="5"/>
      <c r="V90" s="5"/>
      <c r="W90" s="5"/>
      <c r="X90" s="5"/>
      <c r="Y90" s="5"/>
      <c r="Z90" s="5"/>
    </row>
    <row r="91" ht="15.75" customHeight="1">
      <c r="A91" s="10">
        <f t="shared" si="21"/>
        <v>7</v>
      </c>
      <c r="B91" s="13" t="str">
        <f t="shared" si="20"/>
        <v>07-R-MIN-SAN-EFY</v>
      </c>
      <c r="C91" s="18" t="s">
        <v>106</v>
      </c>
      <c r="D91" s="13" t="s">
        <v>12</v>
      </c>
      <c r="E91" s="13" t="s">
        <v>12</v>
      </c>
      <c r="F91" s="14"/>
      <c r="G91" s="5"/>
      <c r="H91" s="5"/>
      <c r="I91" s="5"/>
      <c r="J91" s="5"/>
      <c r="K91" s="5"/>
      <c r="L91" s="5"/>
      <c r="M91" s="5"/>
      <c r="N91" s="5"/>
      <c r="O91" s="5"/>
      <c r="P91" s="5"/>
      <c r="Q91" s="5"/>
      <c r="R91" s="5"/>
      <c r="S91" s="5"/>
      <c r="T91" s="5"/>
      <c r="U91" s="5"/>
      <c r="V91" s="5"/>
      <c r="W91" s="5"/>
      <c r="X91" s="5"/>
      <c r="Y91" s="5"/>
      <c r="Z91" s="5"/>
    </row>
    <row r="92" ht="15.75" customHeight="1">
      <c r="A92" s="5"/>
      <c r="B92" s="21" t="s">
        <v>107</v>
      </c>
      <c r="C92" s="22"/>
      <c r="D92" s="22"/>
      <c r="E92" s="22"/>
      <c r="F92" s="22"/>
      <c r="G92" s="5"/>
      <c r="H92" s="5"/>
      <c r="I92" s="5"/>
      <c r="J92" s="5"/>
      <c r="K92" s="5"/>
      <c r="L92" s="5"/>
      <c r="M92" s="5"/>
      <c r="N92" s="5"/>
      <c r="O92" s="5"/>
      <c r="P92" s="5"/>
      <c r="Q92" s="5"/>
      <c r="R92" s="5"/>
      <c r="S92" s="5"/>
      <c r="T92" s="5"/>
      <c r="U92" s="5"/>
      <c r="V92" s="5"/>
      <c r="W92" s="5"/>
      <c r="X92" s="5"/>
      <c r="Y92" s="5"/>
      <c r="Z92" s="5"/>
    </row>
    <row r="93" ht="15.75" customHeight="1">
      <c r="A93" s="10">
        <f>0+1</f>
        <v>1</v>
      </c>
      <c r="B93" s="13" t="str">
        <f t="shared" ref="B93:B96" si="22">CONCATENATE("0",A93,"-R-MIN-SAN-VEI")</f>
        <v>01-R-MIN-SAN-VEI</v>
      </c>
      <c r="C93" s="18" t="s">
        <v>108</v>
      </c>
      <c r="D93" s="13" t="s">
        <v>12</v>
      </c>
      <c r="E93" s="13" t="s">
        <v>12</v>
      </c>
      <c r="F93" s="14"/>
      <c r="G93" s="5"/>
      <c r="H93" s="5"/>
      <c r="I93" s="5"/>
      <c r="J93" s="5"/>
      <c r="K93" s="5"/>
      <c r="L93" s="5"/>
      <c r="M93" s="5"/>
      <c r="N93" s="5"/>
      <c r="O93" s="5"/>
      <c r="P93" s="5"/>
      <c r="Q93" s="5"/>
      <c r="R93" s="5"/>
      <c r="S93" s="5"/>
      <c r="T93" s="5"/>
      <c r="U93" s="5"/>
      <c r="V93" s="5"/>
      <c r="W93" s="5"/>
      <c r="X93" s="5"/>
      <c r="Y93" s="5"/>
      <c r="Z93" s="5"/>
    </row>
    <row r="94" ht="15.75" customHeight="1">
      <c r="A94" s="10">
        <f t="shared" ref="A94:A96" si="23">A93+1</f>
        <v>2</v>
      </c>
      <c r="B94" s="13" t="str">
        <f t="shared" si="22"/>
        <v>02-R-MIN-SAN-VEI</v>
      </c>
      <c r="C94" s="18" t="s">
        <v>109</v>
      </c>
      <c r="D94" s="13" t="s">
        <v>12</v>
      </c>
      <c r="E94" s="13" t="s">
        <v>12</v>
      </c>
      <c r="F94" s="14"/>
      <c r="G94" s="5"/>
      <c r="H94" s="5"/>
      <c r="I94" s="5"/>
      <c r="J94" s="5"/>
      <c r="K94" s="5"/>
      <c r="L94" s="5"/>
      <c r="M94" s="5"/>
      <c r="N94" s="5"/>
      <c r="O94" s="5"/>
      <c r="P94" s="5"/>
      <c r="Q94" s="5"/>
      <c r="R94" s="5"/>
      <c r="S94" s="5"/>
      <c r="T94" s="5"/>
      <c r="U94" s="5"/>
      <c r="V94" s="5"/>
      <c r="W94" s="5"/>
      <c r="X94" s="5"/>
      <c r="Y94" s="5"/>
      <c r="Z94" s="5"/>
    </row>
    <row r="95" ht="15.75" customHeight="1">
      <c r="A95" s="10">
        <f t="shared" si="23"/>
        <v>3</v>
      </c>
      <c r="B95" s="13" t="str">
        <f t="shared" si="22"/>
        <v>03-R-MIN-SAN-VEI</v>
      </c>
      <c r="C95" s="18" t="s">
        <v>110</v>
      </c>
      <c r="D95" s="13" t="s">
        <v>12</v>
      </c>
      <c r="E95" s="13" t="s">
        <v>12</v>
      </c>
      <c r="F95" s="14"/>
      <c r="G95" s="5"/>
      <c r="H95" s="5"/>
      <c r="I95" s="5"/>
      <c r="J95" s="5"/>
      <c r="K95" s="5"/>
      <c r="L95" s="5"/>
      <c r="M95" s="5"/>
      <c r="N95" s="5"/>
      <c r="O95" s="5"/>
      <c r="P95" s="5"/>
      <c r="Q95" s="5"/>
      <c r="R95" s="5"/>
      <c r="S95" s="5"/>
      <c r="T95" s="5"/>
      <c r="U95" s="5"/>
      <c r="V95" s="5"/>
      <c r="W95" s="5"/>
      <c r="X95" s="5"/>
      <c r="Y95" s="5"/>
      <c r="Z95" s="5"/>
    </row>
    <row r="96" ht="15.75" customHeight="1">
      <c r="A96" s="10">
        <f t="shared" si="23"/>
        <v>4</v>
      </c>
      <c r="B96" s="13" t="str">
        <f t="shared" si="22"/>
        <v>04-R-MIN-SAN-VEI</v>
      </c>
      <c r="C96" s="18" t="s">
        <v>111</v>
      </c>
      <c r="D96" s="13" t="s">
        <v>12</v>
      </c>
      <c r="E96" s="13" t="s">
        <v>12</v>
      </c>
      <c r="F96" s="14"/>
      <c r="G96" s="5"/>
      <c r="H96" s="5"/>
      <c r="I96" s="5"/>
      <c r="J96" s="5"/>
      <c r="K96" s="5"/>
      <c r="L96" s="5"/>
      <c r="M96" s="5"/>
      <c r="N96" s="5"/>
      <c r="O96" s="5"/>
      <c r="P96" s="5"/>
      <c r="Q96" s="5"/>
      <c r="R96" s="5"/>
      <c r="S96" s="5"/>
      <c r="T96" s="5"/>
      <c r="U96" s="5"/>
      <c r="V96" s="5"/>
      <c r="W96" s="5"/>
      <c r="X96" s="5"/>
      <c r="Y96" s="5"/>
      <c r="Z96" s="5"/>
    </row>
    <row r="97" ht="15.75" customHeight="1">
      <c r="A97" s="5"/>
      <c r="B97" s="21" t="s">
        <v>112</v>
      </c>
      <c r="C97" s="22"/>
      <c r="D97" s="22"/>
      <c r="E97" s="22"/>
      <c r="F97" s="22"/>
      <c r="G97" s="5"/>
      <c r="H97" s="5"/>
      <c r="I97" s="5"/>
      <c r="J97" s="5"/>
      <c r="K97" s="5"/>
      <c r="L97" s="5"/>
      <c r="M97" s="5"/>
      <c r="N97" s="5"/>
      <c r="O97" s="5"/>
      <c r="P97" s="5"/>
      <c r="Q97" s="5"/>
      <c r="R97" s="5"/>
      <c r="S97" s="5"/>
      <c r="T97" s="5"/>
      <c r="U97" s="5"/>
      <c r="V97" s="5"/>
      <c r="W97" s="5"/>
      <c r="X97" s="5"/>
      <c r="Y97" s="5"/>
      <c r="Z97" s="5"/>
    </row>
    <row r="98" ht="15.75" customHeight="1">
      <c r="A98" s="10">
        <f>0+1</f>
        <v>1</v>
      </c>
      <c r="B98" s="13" t="str">
        <f t="shared" ref="B98:B101" si="24">CONCATENATE("0",A98,"-R-MIN-SAN-PTR")</f>
        <v>01-R-MIN-SAN-PTR</v>
      </c>
      <c r="C98" s="18" t="s">
        <v>113</v>
      </c>
      <c r="D98" s="13" t="s">
        <v>12</v>
      </c>
      <c r="E98" s="13" t="s">
        <v>12</v>
      </c>
      <c r="F98" s="14"/>
      <c r="G98" s="5"/>
      <c r="H98" s="5"/>
      <c r="I98" s="5"/>
      <c r="J98" s="5"/>
      <c r="K98" s="5"/>
      <c r="L98" s="5"/>
      <c r="M98" s="5"/>
      <c r="N98" s="5"/>
      <c r="O98" s="5"/>
      <c r="P98" s="5"/>
      <c r="Q98" s="5"/>
      <c r="R98" s="5"/>
      <c r="S98" s="5"/>
      <c r="T98" s="5"/>
      <c r="U98" s="5"/>
      <c r="V98" s="5"/>
      <c r="W98" s="5"/>
      <c r="X98" s="5"/>
      <c r="Y98" s="5"/>
      <c r="Z98" s="5"/>
    </row>
    <row r="99" ht="15.75" customHeight="1">
      <c r="A99" s="10">
        <f t="shared" ref="A99:A101" si="25">A98+1</f>
        <v>2</v>
      </c>
      <c r="B99" s="13" t="str">
        <f t="shared" si="24"/>
        <v>02-R-MIN-SAN-PTR</v>
      </c>
      <c r="C99" s="18" t="s">
        <v>114</v>
      </c>
      <c r="D99" s="13" t="s">
        <v>12</v>
      </c>
      <c r="E99" s="13" t="s">
        <v>12</v>
      </c>
      <c r="F99" s="14"/>
      <c r="G99" s="5"/>
      <c r="H99" s="5"/>
      <c r="I99" s="5"/>
      <c r="J99" s="5"/>
      <c r="K99" s="5"/>
      <c r="L99" s="5"/>
      <c r="M99" s="5"/>
      <c r="N99" s="5"/>
      <c r="O99" s="5"/>
      <c r="P99" s="5"/>
      <c r="Q99" s="5"/>
      <c r="R99" s="5"/>
      <c r="S99" s="5"/>
      <c r="T99" s="5"/>
      <c r="U99" s="5"/>
      <c r="V99" s="5"/>
      <c r="W99" s="5"/>
      <c r="X99" s="5"/>
      <c r="Y99" s="5"/>
      <c r="Z99" s="5"/>
    </row>
    <row r="100" ht="15.75" customHeight="1">
      <c r="A100" s="10">
        <f t="shared" si="25"/>
        <v>3</v>
      </c>
      <c r="B100" s="13" t="str">
        <f t="shared" si="24"/>
        <v>03-R-MIN-SAN-PTR</v>
      </c>
      <c r="C100" s="18" t="s">
        <v>115</v>
      </c>
      <c r="D100" s="13" t="s">
        <v>12</v>
      </c>
      <c r="E100" s="13" t="s">
        <v>12</v>
      </c>
      <c r="F100" s="14"/>
      <c r="G100" s="5"/>
      <c r="H100" s="5"/>
      <c r="I100" s="5"/>
      <c r="J100" s="5"/>
      <c r="K100" s="5"/>
      <c r="L100" s="5"/>
      <c r="M100" s="5"/>
      <c r="N100" s="5"/>
      <c r="O100" s="5"/>
      <c r="P100" s="5"/>
      <c r="Q100" s="5"/>
      <c r="R100" s="5"/>
      <c r="S100" s="5"/>
      <c r="T100" s="5"/>
      <c r="U100" s="5"/>
      <c r="V100" s="5"/>
      <c r="W100" s="5"/>
      <c r="X100" s="5"/>
      <c r="Y100" s="5"/>
      <c r="Z100" s="5"/>
    </row>
    <row r="101" ht="15.75" customHeight="1">
      <c r="A101" s="10">
        <f t="shared" si="25"/>
        <v>4</v>
      </c>
      <c r="B101" s="13" t="str">
        <f t="shared" si="24"/>
        <v>04-R-MIN-SAN-PTR</v>
      </c>
      <c r="C101" s="18" t="s">
        <v>116</v>
      </c>
      <c r="D101" s="13" t="s">
        <v>12</v>
      </c>
      <c r="E101" s="13" t="s">
        <v>12</v>
      </c>
      <c r="F101" s="14"/>
      <c r="G101" s="5"/>
      <c r="H101" s="5"/>
      <c r="I101" s="5"/>
      <c r="J101" s="5"/>
      <c r="K101" s="5"/>
      <c r="L101" s="5"/>
      <c r="M101" s="5"/>
      <c r="N101" s="5"/>
      <c r="O101" s="5"/>
      <c r="P101" s="5"/>
      <c r="Q101" s="5"/>
      <c r="R101" s="5"/>
      <c r="S101" s="5"/>
      <c r="T101" s="5"/>
      <c r="U101" s="5"/>
      <c r="V101" s="5"/>
      <c r="W101" s="5"/>
      <c r="X101" s="5"/>
      <c r="Y101" s="5"/>
      <c r="Z101" s="5"/>
    </row>
    <row r="102" ht="15.75" customHeight="1">
      <c r="A102" s="5"/>
      <c r="B102" s="21" t="s">
        <v>117</v>
      </c>
      <c r="C102" s="22"/>
      <c r="D102" s="22"/>
      <c r="E102" s="22"/>
      <c r="F102" s="22"/>
      <c r="G102" s="5"/>
      <c r="H102" s="5"/>
      <c r="I102" s="5"/>
      <c r="J102" s="5"/>
      <c r="K102" s="5"/>
      <c r="L102" s="5"/>
      <c r="M102" s="5"/>
      <c r="N102" s="5"/>
      <c r="O102" s="5"/>
      <c r="P102" s="5"/>
      <c r="Q102" s="5"/>
      <c r="R102" s="5"/>
      <c r="S102" s="5"/>
      <c r="T102" s="5"/>
      <c r="U102" s="5"/>
      <c r="V102" s="5"/>
      <c r="W102" s="5"/>
      <c r="X102" s="5"/>
      <c r="Y102" s="5"/>
      <c r="Z102" s="5"/>
    </row>
    <row r="103" ht="15.75" customHeight="1">
      <c r="A103" s="10">
        <f>0+1</f>
        <v>1</v>
      </c>
      <c r="B103" s="13" t="str">
        <f>CONCATENATE("0",A103,"-R-MIN-SAN-LCS")</f>
        <v>01-R-MIN-SAN-LCS</v>
      </c>
      <c r="C103" s="18" t="s">
        <v>118</v>
      </c>
      <c r="D103" s="13" t="s">
        <v>12</v>
      </c>
      <c r="E103" s="13" t="s">
        <v>12</v>
      </c>
      <c r="F103" s="14"/>
      <c r="G103" s="5"/>
      <c r="H103" s="5"/>
      <c r="I103" s="5"/>
      <c r="J103" s="5"/>
      <c r="K103" s="5"/>
      <c r="L103" s="5"/>
      <c r="M103" s="5"/>
      <c r="N103" s="5"/>
      <c r="O103" s="5"/>
      <c r="P103" s="5"/>
      <c r="Q103" s="5"/>
      <c r="R103" s="5"/>
      <c r="S103" s="5"/>
      <c r="T103" s="5"/>
      <c r="U103" s="5"/>
      <c r="V103" s="5"/>
      <c r="W103" s="5"/>
      <c r="X103" s="5"/>
      <c r="Y103" s="5"/>
      <c r="Z103" s="5"/>
    </row>
    <row r="104" ht="15.75" customHeight="1">
      <c r="A104" s="5"/>
      <c r="B104" s="21" t="s">
        <v>119</v>
      </c>
      <c r="C104" s="22"/>
      <c r="D104" s="22"/>
      <c r="E104" s="22"/>
      <c r="F104" s="22"/>
      <c r="G104" s="5"/>
      <c r="H104" s="5"/>
      <c r="I104" s="5"/>
      <c r="J104" s="5"/>
      <c r="K104" s="5"/>
      <c r="L104" s="5"/>
      <c r="M104" s="5"/>
      <c r="N104" s="5"/>
      <c r="O104" s="5"/>
      <c r="P104" s="5"/>
      <c r="Q104" s="5"/>
      <c r="R104" s="5"/>
      <c r="S104" s="5"/>
      <c r="T104" s="5"/>
      <c r="U104" s="5"/>
      <c r="V104" s="5"/>
      <c r="W104" s="5"/>
      <c r="X104" s="5"/>
      <c r="Y104" s="5"/>
      <c r="Z104" s="5"/>
    </row>
    <row r="105" ht="15.75" customHeight="1">
      <c r="A105" s="10">
        <f>0+1</f>
        <v>1</v>
      </c>
      <c r="B105" s="13" t="str">
        <f t="shared" ref="B105:B108" si="26">CONCATENATE("0",A105,"-R-MIN-SAN-MGT")</f>
        <v>01-R-MIN-SAN-MGT</v>
      </c>
      <c r="C105" s="18" t="s">
        <v>120</v>
      </c>
      <c r="D105" s="13" t="s">
        <v>12</v>
      </c>
      <c r="E105" s="13" t="s">
        <v>12</v>
      </c>
      <c r="F105" s="14"/>
      <c r="G105" s="5"/>
      <c r="H105" s="5"/>
      <c r="I105" s="5"/>
      <c r="J105" s="5"/>
      <c r="K105" s="5"/>
      <c r="L105" s="5"/>
      <c r="M105" s="5"/>
      <c r="N105" s="5"/>
      <c r="O105" s="5"/>
      <c r="P105" s="5"/>
      <c r="Q105" s="5"/>
      <c r="R105" s="5"/>
      <c r="S105" s="5"/>
      <c r="T105" s="5"/>
      <c r="U105" s="5"/>
      <c r="V105" s="5"/>
      <c r="W105" s="5"/>
      <c r="X105" s="5"/>
      <c r="Y105" s="5"/>
      <c r="Z105" s="5"/>
    </row>
    <row r="106" ht="15.75" customHeight="1">
      <c r="A106" s="10">
        <f t="shared" ref="A106:A108" si="27">A105+1</f>
        <v>2</v>
      </c>
      <c r="B106" s="13" t="str">
        <f t="shared" si="26"/>
        <v>02-R-MIN-SAN-MGT</v>
      </c>
      <c r="C106" s="18" t="s">
        <v>121</v>
      </c>
      <c r="D106" s="13" t="s">
        <v>12</v>
      </c>
      <c r="E106" s="13" t="s">
        <v>12</v>
      </c>
      <c r="F106" s="14"/>
      <c r="G106" s="5"/>
      <c r="H106" s="5"/>
      <c r="I106" s="5"/>
      <c r="J106" s="5"/>
      <c r="K106" s="5"/>
      <c r="L106" s="5"/>
      <c r="M106" s="5"/>
      <c r="N106" s="5"/>
      <c r="O106" s="5"/>
      <c r="P106" s="5"/>
      <c r="Q106" s="5"/>
      <c r="R106" s="5"/>
      <c r="S106" s="5"/>
      <c r="T106" s="5"/>
      <c r="U106" s="5"/>
      <c r="V106" s="5"/>
      <c r="W106" s="5"/>
      <c r="X106" s="5"/>
      <c r="Y106" s="5"/>
      <c r="Z106" s="5"/>
    </row>
    <row r="107" ht="15.75" customHeight="1">
      <c r="A107" s="10">
        <f t="shared" si="27"/>
        <v>3</v>
      </c>
      <c r="B107" s="13" t="str">
        <f t="shared" si="26"/>
        <v>03-R-MIN-SAN-MGT</v>
      </c>
      <c r="C107" s="18" t="s">
        <v>122</v>
      </c>
      <c r="D107" s="13" t="s">
        <v>12</v>
      </c>
      <c r="E107" s="13" t="s">
        <v>12</v>
      </c>
      <c r="F107" s="14"/>
      <c r="G107" s="5"/>
      <c r="H107" s="5"/>
      <c r="I107" s="5"/>
      <c r="J107" s="5"/>
      <c r="K107" s="5"/>
      <c r="L107" s="5"/>
      <c r="M107" s="5"/>
      <c r="N107" s="5"/>
      <c r="O107" s="5"/>
      <c r="P107" s="5"/>
      <c r="Q107" s="5"/>
      <c r="R107" s="5"/>
      <c r="S107" s="5"/>
      <c r="T107" s="5"/>
      <c r="U107" s="5"/>
      <c r="V107" s="5"/>
      <c r="W107" s="5"/>
      <c r="X107" s="5"/>
      <c r="Y107" s="5"/>
      <c r="Z107" s="5"/>
    </row>
    <row r="108" ht="15.75" customHeight="1">
      <c r="A108" s="10">
        <f t="shared" si="27"/>
        <v>4</v>
      </c>
      <c r="B108" s="13" t="str">
        <f t="shared" si="26"/>
        <v>04-R-MIN-SAN-MGT</v>
      </c>
      <c r="C108" s="18" t="s">
        <v>123</v>
      </c>
      <c r="D108" s="13" t="s">
        <v>12</v>
      </c>
      <c r="E108" s="13" t="s">
        <v>12</v>
      </c>
      <c r="F108" s="14"/>
      <c r="G108" s="5"/>
      <c r="H108" s="5"/>
      <c r="I108" s="5"/>
      <c r="J108" s="5"/>
      <c r="K108" s="5"/>
      <c r="L108" s="5"/>
      <c r="M108" s="5"/>
      <c r="N108" s="5"/>
      <c r="O108" s="5"/>
      <c r="P108" s="5"/>
      <c r="Q108" s="5"/>
      <c r="R108" s="5"/>
      <c r="S108" s="5"/>
      <c r="T108" s="5"/>
      <c r="U108" s="5"/>
      <c r="V108" s="5"/>
      <c r="W108" s="5"/>
      <c r="X108" s="5"/>
      <c r="Y108" s="5"/>
      <c r="Z108" s="5"/>
    </row>
    <row r="109" ht="15.75" customHeight="1">
      <c r="A109" s="5"/>
      <c r="B109" s="21" t="s">
        <v>124</v>
      </c>
      <c r="C109" s="22"/>
      <c r="D109" s="22"/>
      <c r="E109" s="22"/>
      <c r="F109" s="22"/>
      <c r="G109" s="5"/>
      <c r="H109" s="5"/>
      <c r="I109" s="5"/>
      <c r="J109" s="5"/>
      <c r="K109" s="5"/>
      <c r="L109" s="5"/>
      <c r="M109" s="5"/>
      <c r="N109" s="5"/>
      <c r="O109" s="5"/>
      <c r="P109" s="5"/>
      <c r="Q109" s="5"/>
      <c r="R109" s="5"/>
      <c r="S109" s="5"/>
      <c r="T109" s="5"/>
      <c r="U109" s="5"/>
      <c r="V109" s="5"/>
      <c r="W109" s="5"/>
      <c r="X109" s="5"/>
      <c r="Y109" s="5"/>
      <c r="Z109" s="5"/>
    </row>
    <row r="110" ht="15.75" customHeight="1">
      <c r="A110" s="10">
        <f>0+1</f>
        <v>1</v>
      </c>
      <c r="B110" s="13" t="str">
        <f t="shared" ref="B110:B112" si="28">CONCATENATE("0",A110,"-R-MIN-SAN-SEC")</f>
        <v>01-R-MIN-SAN-SEC</v>
      </c>
      <c r="C110" s="18" t="s">
        <v>125</v>
      </c>
      <c r="D110" s="13" t="s">
        <v>12</v>
      </c>
      <c r="E110" s="13" t="s">
        <v>12</v>
      </c>
      <c r="F110" s="14"/>
      <c r="G110" s="5"/>
      <c r="H110" s="5"/>
      <c r="I110" s="5"/>
      <c r="J110" s="5"/>
      <c r="K110" s="5"/>
      <c r="L110" s="5"/>
      <c r="M110" s="5"/>
      <c r="N110" s="5"/>
      <c r="O110" s="5"/>
      <c r="P110" s="5"/>
      <c r="Q110" s="5"/>
      <c r="R110" s="5"/>
      <c r="S110" s="5"/>
      <c r="T110" s="5"/>
      <c r="U110" s="5"/>
      <c r="V110" s="5"/>
      <c r="W110" s="5"/>
      <c r="X110" s="5"/>
      <c r="Y110" s="5"/>
      <c r="Z110" s="5"/>
    </row>
    <row r="111" ht="15.75" customHeight="1">
      <c r="A111" s="10">
        <f t="shared" ref="A111:A112" si="29">A110+1</f>
        <v>2</v>
      </c>
      <c r="B111" s="13" t="str">
        <f t="shared" si="28"/>
        <v>02-R-MIN-SAN-SEC</v>
      </c>
      <c r="C111" s="18" t="s">
        <v>126</v>
      </c>
      <c r="D111" s="13" t="s">
        <v>12</v>
      </c>
      <c r="E111" s="13" t="s">
        <v>12</v>
      </c>
      <c r="F111" s="14"/>
      <c r="G111" s="5"/>
      <c r="H111" s="5"/>
      <c r="I111" s="5"/>
      <c r="J111" s="5"/>
      <c r="K111" s="5"/>
      <c r="L111" s="5"/>
      <c r="M111" s="5"/>
      <c r="N111" s="5"/>
      <c r="O111" s="5"/>
      <c r="P111" s="5"/>
      <c r="Q111" s="5"/>
      <c r="R111" s="5"/>
      <c r="S111" s="5"/>
      <c r="T111" s="5"/>
      <c r="U111" s="5"/>
      <c r="V111" s="5"/>
      <c r="W111" s="5"/>
      <c r="X111" s="5"/>
      <c r="Y111" s="5"/>
      <c r="Z111" s="5"/>
    </row>
    <row r="112" ht="15.75" customHeight="1">
      <c r="A112" s="10">
        <f t="shared" si="29"/>
        <v>3</v>
      </c>
      <c r="B112" s="13" t="str">
        <f t="shared" si="28"/>
        <v>03-R-MIN-SAN-SEC</v>
      </c>
      <c r="C112" s="18" t="s">
        <v>127</v>
      </c>
      <c r="D112" s="13" t="s">
        <v>12</v>
      </c>
      <c r="E112" s="13" t="s">
        <v>12</v>
      </c>
      <c r="F112" s="14"/>
      <c r="G112" s="5"/>
      <c r="H112" s="5"/>
      <c r="I112" s="5"/>
      <c r="J112" s="5"/>
      <c r="K112" s="5"/>
      <c r="L112" s="5"/>
      <c r="M112" s="5"/>
      <c r="N112" s="5"/>
      <c r="O112" s="5"/>
      <c r="P112" s="5"/>
      <c r="Q112" s="5"/>
      <c r="R112" s="5"/>
      <c r="S112" s="5"/>
      <c r="T112" s="5"/>
      <c r="U112" s="5"/>
      <c r="V112" s="5"/>
      <c r="W112" s="5"/>
      <c r="X112" s="5"/>
      <c r="Y112" s="5"/>
      <c r="Z112" s="5"/>
    </row>
    <row r="113" ht="15.75" customHeight="1">
      <c r="A113" s="5"/>
      <c r="B113" s="15" t="s">
        <v>128</v>
      </c>
      <c r="C113" s="8"/>
      <c r="D113" s="8"/>
      <c r="E113" s="8"/>
      <c r="F113" s="9"/>
      <c r="G113" s="5"/>
      <c r="H113" s="5"/>
      <c r="I113" s="5"/>
      <c r="J113" s="5"/>
      <c r="K113" s="5"/>
      <c r="L113" s="5"/>
      <c r="M113" s="5"/>
      <c r="N113" s="5"/>
      <c r="O113" s="5"/>
      <c r="P113" s="5"/>
      <c r="Q113" s="5"/>
      <c r="R113" s="5"/>
      <c r="S113" s="5"/>
      <c r="T113" s="5"/>
      <c r="U113" s="5"/>
      <c r="V113" s="5"/>
      <c r="W113" s="5"/>
      <c r="X113" s="5"/>
      <c r="Y113" s="5"/>
      <c r="Z113" s="5"/>
    </row>
    <row r="114" ht="15.75" customHeight="1">
      <c r="A114" s="5"/>
      <c r="B114" s="21" t="s">
        <v>64</v>
      </c>
      <c r="C114" s="22"/>
      <c r="D114" s="22"/>
      <c r="E114" s="22"/>
      <c r="F114" s="22"/>
      <c r="G114" s="5"/>
      <c r="H114" s="5"/>
      <c r="I114" s="5"/>
      <c r="J114" s="5"/>
      <c r="K114" s="5"/>
      <c r="L114" s="5"/>
      <c r="M114" s="5"/>
      <c r="N114" s="5"/>
      <c r="O114" s="5"/>
      <c r="P114" s="5"/>
      <c r="Q114" s="5"/>
      <c r="R114" s="5"/>
      <c r="S114" s="5"/>
      <c r="T114" s="5"/>
      <c r="U114" s="5"/>
      <c r="V114" s="5"/>
      <c r="W114" s="5"/>
      <c r="X114" s="5"/>
      <c r="Y114" s="5"/>
      <c r="Z114" s="5"/>
    </row>
    <row r="115" ht="15.75" customHeight="1">
      <c r="A115" s="10">
        <f>0+1</f>
        <v>1</v>
      </c>
      <c r="B115" s="13" t="str">
        <f t="shared" ref="B115:B118" si="30">CONCATENATE("0",A115,"-R-MIN-NAS-GEN")</f>
        <v>01-R-MIN-NAS-GEN</v>
      </c>
      <c r="C115" s="18" t="s">
        <v>129</v>
      </c>
      <c r="D115" s="13"/>
      <c r="E115" s="13" t="s">
        <v>12</v>
      </c>
      <c r="F115" s="14"/>
      <c r="G115" s="5"/>
      <c r="H115" s="5"/>
      <c r="I115" s="5"/>
      <c r="J115" s="5"/>
      <c r="K115" s="5"/>
      <c r="L115" s="5"/>
      <c r="M115" s="5"/>
      <c r="N115" s="5"/>
      <c r="O115" s="5"/>
      <c r="P115" s="5"/>
      <c r="Q115" s="5"/>
      <c r="R115" s="5"/>
      <c r="S115" s="5"/>
      <c r="T115" s="5"/>
      <c r="U115" s="5"/>
      <c r="V115" s="5"/>
      <c r="W115" s="5"/>
      <c r="X115" s="5"/>
      <c r="Y115" s="5"/>
      <c r="Z115" s="5"/>
    </row>
    <row r="116" ht="15.75" customHeight="1">
      <c r="A116" s="10">
        <f t="shared" ref="A116:A117" si="31">A115+1</f>
        <v>2</v>
      </c>
      <c r="B116" s="13" t="str">
        <f t="shared" si="30"/>
        <v>02-R-MIN-NAS-GEN</v>
      </c>
      <c r="C116" s="18" t="s">
        <v>130</v>
      </c>
      <c r="D116" s="13"/>
      <c r="E116" s="13" t="s">
        <v>12</v>
      </c>
      <c r="F116" s="14"/>
      <c r="G116" s="5"/>
      <c r="H116" s="5"/>
      <c r="I116" s="5"/>
      <c r="J116" s="5"/>
      <c r="K116" s="5"/>
      <c r="L116" s="5"/>
      <c r="M116" s="5"/>
      <c r="N116" s="5"/>
      <c r="O116" s="5"/>
      <c r="P116" s="5"/>
      <c r="Q116" s="5"/>
      <c r="R116" s="5"/>
      <c r="S116" s="5"/>
      <c r="T116" s="5"/>
      <c r="U116" s="5"/>
      <c r="V116" s="5"/>
      <c r="W116" s="5"/>
      <c r="X116" s="5"/>
      <c r="Y116" s="5"/>
      <c r="Z116" s="5"/>
    </row>
    <row r="117" ht="15.75" customHeight="1">
      <c r="A117" s="10">
        <f t="shared" si="31"/>
        <v>3</v>
      </c>
      <c r="B117" s="13" t="str">
        <f t="shared" si="30"/>
        <v>03-R-MIN-NAS-GEN</v>
      </c>
      <c r="C117" s="18" t="s">
        <v>131</v>
      </c>
      <c r="D117" s="13"/>
      <c r="E117" s="13" t="s">
        <v>12</v>
      </c>
      <c r="F117" s="14"/>
      <c r="G117" s="5"/>
      <c r="H117" s="5"/>
      <c r="I117" s="5"/>
      <c r="J117" s="5"/>
      <c r="K117" s="5"/>
      <c r="L117" s="5"/>
      <c r="M117" s="5"/>
      <c r="N117" s="5"/>
      <c r="O117" s="5"/>
      <c r="P117" s="5"/>
      <c r="Q117" s="5"/>
      <c r="R117" s="5"/>
      <c r="S117" s="5"/>
      <c r="T117" s="5"/>
      <c r="U117" s="5"/>
      <c r="V117" s="5"/>
      <c r="W117" s="5"/>
      <c r="X117" s="5"/>
      <c r="Y117" s="5"/>
      <c r="Z117" s="5"/>
    </row>
    <row r="118" ht="33.0" customHeight="1">
      <c r="A118" s="20">
        <v>4.0</v>
      </c>
      <c r="B118" s="23" t="str">
        <f t="shared" si="30"/>
        <v>04-R-MIN-NAS-GEN</v>
      </c>
      <c r="C118" s="24" t="s">
        <v>132</v>
      </c>
      <c r="D118" s="13"/>
      <c r="E118" s="18" t="s">
        <v>133</v>
      </c>
      <c r="F118" s="14"/>
      <c r="G118" s="5"/>
      <c r="H118" s="5"/>
      <c r="I118" s="5"/>
      <c r="J118" s="5"/>
      <c r="K118" s="5"/>
      <c r="L118" s="5"/>
      <c r="M118" s="5"/>
      <c r="N118" s="5"/>
      <c r="O118" s="5"/>
      <c r="P118" s="5"/>
      <c r="Q118" s="5"/>
      <c r="R118" s="5"/>
      <c r="S118" s="5"/>
      <c r="T118" s="5"/>
      <c r="U118" s="5"/>
      <c r="V118" s="5"/>
      <c r="W118" s="5"/>
      <c r="X118" s="5"/>
      <c r="Y118" s="5"/>
      <c r="Z118" s="5"/>
    </row>
    <row r="119" ht="33.0" customHeight="1">
      <c r="A119" s="20"/>
      <c r="B119" s="26"/>
      <c r="C119" s="28"/>
      <c r="D119" s="13"/>
      <c r="E119" s="18" t="s">
        <v>134</v>
      </c>
      <c r="F119" s="14"/>
      <c r="G119" s="5"/>
      <c r="H119" s="5"/>
      <c r="I119" s="5"/>
      <c r="J119" s="5"/>
      <c r="K119" s="5"/>
      <c r="L119" s="5"/>
      <c r="M119" s="5"/>
      <c r="N119" s="5"/>
      <c r="O119" s="5"/>
      <c r="P119" s="5"/>
      <c r="Q119" s="5"/>
      <c r="R119" s="5"/>
      <c r="S119" s="5"/>
      <c r="T119" s="5"/>
      <c r="U119" s="5"/>
      <c r="V119" s="5"/>
      <c r="W119" s="5"/>
      <c r="X119" s="5"/>
      <c r="Y119" s="5"/>
      <c r="Z119" s="5"/>
    </row>
    <row r="120" ht="33.0" customHeight="1">
      <c r="A120" s="5"/>
      <c r="B120" s="26"/>
      <c r="C120" s="28"/>
      <c r="D120" s="13"/>
      <c r="E120" s="18" t="s">
        <v>135</v>
      </c>
      <c r="F120" s="14"/>
      <c r="G120" s="5"/>
      <c r="H120" s="5"/>
      <c r="I120" s="5"/>
      <c r="J120" s="5"/>
      <c r="K120" s="5"/>
      <c r="L120" s="5"/>
      <c r="M120" s="5"/>
      <c r="N120" s="5"/>
      <c r="O120" s="5"/>
      <c r="P120" s="5"/>
      <c r="Q120" s="5"/>
      <c r="R120" s="5"/>
      <c r="S120" s="5"/>
      <c r="T120" s="5"/>
      <c r="U120" s="5"/>
      <c r="V120" s="5"/>
      <c r="W120" s="5"/>
      <c r="X120" s="5"/>
      <c r="Y120" s="5"/>
      <c r="Z120" s="5"/>
    </row>
    <row r="121" ht="33.0" customHeight="1">
      <c r="A121" s="5"/>
      <c r="B121" s="29"/>
      <c r="C121" s="30"/>
      <c r="D121" s="13"/>
      <c r="E121" s="18" t="s">
        <v>136</v>
      </c>
      <c r="F121" s="14"/>
      <c r="G121" s="5"/>
      <c r="H121" s="5"/>
      <c r="I121" s="5"/>
      <c r="J121" s="5"/>
      <c r="K121" s="5"/>
      <c r="L121" s="5"/>
      <c r="M121" s="5"/>
      <c r="N121" s="5"/>
      <c r="O121" s="5"/>
      <c r="P121" s="5"/>
      <c r="Q121" s="5"/>
      <c r="R121" s="5"/>
      <c r="S121" s="5"/>
      <c r="T121" s="5"/>
      <c r="U121" s="5"/>
      <c r="V121" s="5"/>
      <c r="W121" s="5"/>
      <c r="X121" s="5"/>
      <c r="Y121" s="5"/>
      <c r="Z121" s="5"/>
    </row>
    <row r="122" ht="15.75" customHeight="1">
      <c r="A122" s="5"/>
      <c r="B122" s="21" t="s">
        <v>137</v>
      </c>
      <c r="C122" s="22"/>
      <c r="D122" s="22"/>
      <c r="E122" s="22"/>
      <c r="F122" s="22"/>
      <c r="G122" s="5"/>
      <c r="H122" s="5"/>
      <c r="I122" s="5"/>
      <c r="J122" s="5"/>
      <c r="K122" s="5"/>
      <c r="L122" s="5"/>
      <c r="M122" s="5"/>
      <c r="N122" s="5"/>
      <c r="O122" s="5"/>
      <c r="P122" s="5"/>
      <c r="Q122" s="5"/>
      <c r="R122" s="5"/>
      <c r="S122" s="5"/>
      <c r="T122" s="5"/>
      <c r="U122" s="5"/>
      <c r="V122" s="5"/>
      <c r="W122" s="5"/>
      <c r="X122" s="5"/>
      <c r="Y122" s="5"/>
      <c r="Z122" s="5"/>
    </row>
    <row r="123" ht="15.75" customHeight="1">
      <c r="A123" s="10">
        <f>0+1</f>
        <v>1</v>
      </c>
      <c r="B123" s="13" t="str">
        <f t="shared" ref="B123:B131" si="32">CONCATENATE("0",A123,"-R-MIN-NAS-FTY")</f>
        <v>01-R-MIN-NAS-FTY</v>
      </c>
      <c r="C123" s="18" t="s">
        <v>138</v>
      </c>
      <c r="D123" s="13" t="s">
        <v>12</v>
      </c>
      <c r="E123" s="13" t="s">
        <v>12</v>
      </c>
      <c r="F123" s="14"/>
      <c r="G123" s="5"/>
      <c r="H123" s="5"/>
      <c r="I123" s="5"/>
      <c r="J123" s="5"/>
      <c r="K123" s="5"/>
      <c r="L123" s="5"/>
      <c r="M123" s="5"/>
      <c r="N123" s="5"/>
      <c r="O123" s="5"/>
      <c r="P123" s="5"/>
      <c r="Q123" s="5"/>
      <c r="R123" s="5"/>
      <c r="S123" s="5"/>
      <c r="T123" s="5"/>
      <c r="U123" s="5"/>
      <c r="V123" s="5"/>
      <c r="W123" s="5"/>
      <c r="X123" s="5"/>
      <c r="Y123" s="5"/>
      <c r="Z123" s="5"/>
    </row>
    <row r="124" ht="15.75" customHeight="1">
      <c r="A124" s="10">
        <f t="shared" ref="A124:A132" si="33">A123+1</f>
        <v>2</v>
      </c>
      <c r="B124" s="13" t="str">
        <f t="shared" si="32"/>
        <v>02-R-MIN-NAS-FTY</v>
      </c>
      <c r="C124" s="18" t="s">
        <v>139</v>
      </c>
      <c r="D124" s="13" t="s">
        <v>12</v>
      </c>
      <c r="E124" s="13" t="s">
        <v>12</v>
      </c>
      <c r="F124" s="14"/>
      <c r="G124" s="5"/>
      <c r="H124" s="5"/>
      <c r="I124" s="5"/>
      <c r="J124" s="5"/>
      <c r="K124" s="5"/>
      <c r="L124" s="5"/>
      <c r="M124" s="5"/>
      <c r="N124" s="5"/>
      <c r="O124" s="5"/>
      <c r="P124" s="5"/>
      <c r="Q124" s="5"/>
      <c r="R124" s="5"/>
      <c r="S124" s="5"/>
      <c r="T124" s="5"/>
      <c r="U124" s="5"/>
      <c r="V124" s="5"/>
      <c r="W124" s="5"/>
      <c r="X124" s="5"/>
      <c r="Y124" s="5"/>
      <c r="Z124" s="5"/>
    </row>
    <row r="125" ht="15.75" customHeight="1">
      <c r="A125" s="10">
        <f t="shared" si="33"/>
        <v>3</v>
      </c>
      <c r="B125" s="13" t="str">
        <f t="shared" si="32"/>
        <v>03-R-MIN-NAS-FTY</v>
      </c>
      <c r="C125" s="18" t="s">
        <v>140</v>
      </c>
      <c r="D125" s="13" t="s">
        <v>12</v>
      </c>
      <c r="E125" s="13" t="s">
        <v>12</v>
      </c>
      <c r="F125" s="14"/>
      <c r="G125" s="5"/>
      <c r="H125" s="5"/>
      <c r="I125" s="5"/>
      <c r="J125" s="5"/>
      <c r="K125" s="5"/>
      <c r="L125" s="5"/>
      <c r="M125" s="5"/>
      <c r="N125" s="5"/>
      <c r="O125" s="5"/>
      <c r="P125" s="5"/>
      <c r="Q125" s="5"/>
      <c r="R125" s="5"/>
      <c r="S125" s="5"/>
      <c r="T125" s="5"/>
      <c r="U125" s="5"/>
      <c r="V125" s="5"/>
      <c r="W125" s="5"/>
      <c r="X125" s="5"/>
      <c r="Y125" s="5"/>
      <c r="Z125" s="5"/>
    </row>
    <row r="126" ht="15.75" customHeight="1">
      <c r="A126" s="10">
        <f t="shared" si="33"/>
        <v>4</v>
      </c>
      <c r="B126" s="13" t="str">
        <f t="shared" si="32"/>
        <v>04-R-MIN-NAS-FTY</v>
      </c>
      <c r="C126" s="18" t="s">
        <v>141</v>
      </c>
      <c r="D126" s="13" t="s">
        <v>12</v>
      </c>
      <c r="E126" s="13" t="s">
        <v>12</v>
      </c>
      <c r="F126" s="14"/>
      <c r="G126" s="5"/>
      <c r="H126" s="5"/>
      <c r="I126" s="5"/>
      <c r="J126" s="5"/>
      <c r="K126" s="5"/>
      <c r="L126" s="5"/>
      <c r="M126" s="5"/>
      <c r="N126" s="5"/>
      <c r="O126" s="5"/>
      <c r="P126" s="5"/>
      <c r="Q126" s="5"/>
      <c r="R126" s="5"/>
      <c r="S126" s="5"/>
      <c r="T126" s="5"/>
      <c r="U126" s="5"/>
      <c r="V126" s="5"/>
      <c r="W126" s="5"/>
      <c r="X126" s="5"/>
      <c r="Y126" s="5"/>
      <c r="Z126" s="5"/>
    </row>
    <row r="127" ht="15.75" customHeight="1">
      <c r="A127" s="10">
        <f t="shared" si="33"/>
        <v>5</v>
      </c>
      <c r="B127" s="13" t="str">
        <f t="shared" si="32"/>
        <v>05-R-MIN-NAS-FTY</v>
      </c>
      <c r="C127" s="18" t="s">
        <v>142</v>
      </c>
      <c r="D127" s="13" t="s">
        <v>12</v>
      </c>
      <c r="E127" s="13" t="s">
        <v>12</v>
      </c>
      <c r="F127" s="14"/>
      <c r="G127" s="5"/>
      <c r="H127" s="5"/>
      <c r="I127" s="5"/>
      <c r="J127" s="5"/>
      <c r="K127" s="5"/>
      <c r="L127" s="5"/>
      <c r="M127" s="5"/>
      <c r="N127" s="5"/>
      <c r="O127" s="5"/>
      <c r="P127" s="5"/>
      <c r="Q127" s="5"/>
      <c r="R127" s="5"/>
      <c r="S127" s="5"/>
      <c r="T127" s="5"/>
      <c r="U127" s="5"/>
      <c r="V127" s="5"/>
      <c r="W127" s="5"/>
      <c r="X127" s="5"/>
      <c r="Y127" s="5"/>
      <c r="Z127" s="5"/>
    </row>
    <row r="128" ht="15.75" customHeight="1">
      <c r="A128" s="10">
        <f t="shared" si="33"/>
        <v>6</v>
      </c>
      <c r="B128" s="13" t="str">
        <f t="shared" si="32"/>
        <v>06-R-MIN-NAS-FTY</v>
      </c>
      <c r="C128" s="18" t="s">
        <v>143</v>
      </c>
      <c r="D128" s="13" t="s">
        <v>12</v>
      </c>
      <c r="E128" s="13" t="s">
        <v>12</v>
      </c>
      <c r="F128" s="14"/>
      <c r="G128" s="5"/>
      <c r="H128" s="5"/>
      <c r="I128" s="5"/>
      <c r="J128" s="5"/>
      <c r="K128" s="5"/>
      <c r="L128" s="5"/>
      <c r="M128" s="5"/>
      <c r="N128" s="5"/>
      <c r="O128" s="5"/>
      <c r="P128" s="5"/>
      <c r="Q128" s="5"/>
      <c r="R128" s="5"/>
      <c r="S128" s="5"/>
      <c r="T128" s="5"/>
      <c r="U128" s="5"/>
      <c r="V128" s="5"/>
      <c r="W128" s="5"/>
      <c r="X128" s="5"/>
      <c r="Y128" s="5"/>
      <c r="Z128" s="5"/>
    </row>
    <row r="129" ht="15.75" customHeight="1">
      <c r="A129" s="10">
        <f t="shared" si="33"/>
        <v>7</v>
      </c>
      <c r="B129" s="13" t="str">
        <f t="shared" si="32"/>
        <v>07-R-MIN-NAS-FTY</v>
      </c>
      <c r="C129" s="18" t="s">
        <v>144</v>
      </c>
      <c r="D129" s="13" t="s">
        <v>12</v>
      </c>
      <c r="E129" s="13" t="s">
        <v>12</v>
      </c>
      <c r="F129" s="14"/>
      <c r="G129" s="5"/>
      <c r="H129" s="5"/>
      <c r="I129" s="5"/>
      <c r="J129" s="5"/>
      <c r="K129" s="5"/>
      <c r="L129" s="5"/>
      <c r="M129" s="5"/>
      <c r="N129" s="5"/>
      <c r="O129" s="5"/>
      <c r="P129" s="5"/>
      <c r="Q129" s="5"/>
      <c r="R129" s="5"/>
      <c r="S129" s="5"/>
      <c r="T129" s="5"/>
      <c r="U129" s="5"/>
      <c r="V129" s="5"/>
      <c r="W129" s="5"/>
      <c r="X129" s="5"/>
      <c r="Y129" s="5"/>
      <c r="Z129" s="5"/>
    </row>
    <row r="130" ht="15.75" customHeight="1">
      <c r="A130" s="10">
        <f t="shared" si="33"/>
        <v>8</v>
      </c>
      <c r="B130" s="13" t="str">
        <f t="shared" si="32"/>
        <v>08-R-MIN-NAS-FTY</v>
      </c>
      <c r="C130" s="18" t="s">
        <v>145</v>
      </c>
      <c r="D130" s="13" t="s">
        <v>12</v>
      </c>
      <c r="E130" s="13" t="s">
        <v>12</v>
      </c>
      <c r="F130" s="14"/>
      <c r="G130" s="5"/>
      <c r="H130" s="5"/>
      <c r="I130" s="5"/>
      <c r="J130" s="5"/>
      <c r="K130" s="5"/>
      <c r="L130" s="5"/>
      <c r="M130" s="5"/>
      <c r="N130" s="5"/>
      <c r="O130" s="5"/>
      <c r="P130" s="5"/>
      <c r="Q130" s="5"/>
      <c r="R130" s="5"/>
      <c r="S130" s="5"/>
      <c r="T130" s="5"/>
      <c r="U130" s="5"/>
      <c r="V130" s="5"/>
      <c r="W130" s="5"/>
      <c r="X130" s="5"/>
      <c r="Y130" s="5"/>
      <c r="Z130" s="5"/>
    </row>
    <row r="131" ht="15.75" customHeight="1">
      <c r="A131" s="10">
        <f t="shared" si="33"/>
        <v>9</v>
      </c>
      <c r="B131" s="13" t="str">
        <f t="shared" si="32"/>
        <v>09-R-MIN-NAS-FTY</v>
      </c>
      <c r="C131" s="18" t="s">
        <v>146</v>
      </c>
      <c r="D131" s="13" t="s">
        <v>12</v>
      </c>
      <c r="E131" s="13" t="s">
        <v>12</v>
      </c>
      <c r="F131" s="14"/>
      <c r="G131" s="5"/>
      <c r="H131" s="5"/>
      <c r="I131" s="5"/>
      <c r="J131" s="5"/>
      <c r="K131" s="5"/>
      <c r="L131" s="5"/>
      <c r="M131" s="5"/>
      <c r="N131" s="5"/>
      <c r="O131" s="5"/>
      <c r="P131" s="5"/>
      <c r="Q131" s="5"/>
      <c r="R131" s="5"/>
      <c r="S131" s="5"/>
      <c r="T131" s="5"/>
      <c r="U131" s="5"/>
      <c r="V131" s="5"/>
      <c r="W131" s="5"/>
      <c r="X131" s="5"/>
      <c r="Y131" s="5"/>
      <c r="Z131" s="5"/>
    </row>
    <row r="132" ht="15.75" customHeight="1">
      <c r="A132" s="10">
        <f t="shared" si="33"/>
        <v>10</v>
      </c>
      <c r="B132" s="13" t="str">
        <f>CONCATENATE(A132,"-R-MIN-NAS-FTY")</f>
        <v>10-R-MIN-NAS-FTY</v>
      </c>
      <c r="C132" s="18" t="s">
        <v>147</v>
      </c>
      <c r="D132" s="13" t="s">
        <v>12</v>
      </c>
      <c r="E132" s="13" t="s">
        <v>12</v>
      </c>
      <c r="F132" s="14"/>
      <c r="G132" s="5"/>
      <c r="H132" s="5"/>
      <c r="I132" s="5"/>
      <c r="J132" s="5"/>
      <c r="K132" s="5"/>
      <c r="L132" s="5"/>
      <c r="M132" s="5"/>
      <c r="N132" s="5"/>
      <c r="O132" s="5"/>
      <c r="P132" s="5"/>
      <c r="Q132" s="5"/>
      <c r="R132" s="5"/>
      <c r="S132" s="5"/>
      <c r="T132" s="5"/>
      <c r="U132" s="5"/>
      <c r="V132" s="5"/>
      <c r="W132" s="5"/>
      <c r="X132" s="5"/>
      <c r="Y132" s="5"/>
      <c r="Z132" s="5"/>
    </row>
    <row r="133" ht="15.75" customHeight="1">
      <c r="A133" s="5"/>
      <c r="B133" s="21" t="s">
        <v>148</v>
      </c>
      <c r="C133" s="22"/>
      <c r="D133" s="22"/>
      <c r="E133" s="22"/>
      <c r="F133" s="22"/>
      <c r="G133" s="5"/>
      <c r="H133" s="5"/>
      <c r="I133" s="5"/>
      <c r="J133" s="5"/>
      <c r="K133" s="5"/>
      <c r="L133" s="5"/>
      <c r="M133" s="5"/>
      <c r="N133" s="5"/>
      <c r="O133" s="5"/>
      <c r="P133" s="5"/>
      <c r="Q133" s="5"/>
      <c r="R133" s="5"/>
      <c r="S133" s="5"/>
      <c r="T133" s="5"/>
      <c r="U133" s="5"/>
      <c r="V133" s="5"/>
      <c r="W133" s="5"/>
      <c r="X133" s="5"/>
      <c r="Y133" s="5"/>
      <c r="Z133" s="5"/>
    </row>
    <row r="134" ht="15.75" customHeight="1">
      <c r="A134" s="10">
        <f>0+1</f>
        <v>1</v>
      </c>
      <c r="B134" s="13" t="str">
        <f t="shared" ref="B134:B135" si="34">CONCATENATE("0",A134,"-R-MIN-NAS-SBY")</f>
        <v>01-R-MIN-NAS-SBY</v>
      </c>
      <c r="C134" s="18" t="s">
        <v>149</v>
      </c>
      <c r="D134" s="13" t="s">
        <v>12</v>
      </c>
      <c r="E134" s="13" t="s">
        <v>12</v>
      </c>
      <c r="F134" s="14"/>
      <c r="G134" s="5"/>
      <c r="H134" s="5"/>
      <c r="I134" s="5"/>
      <c r="J134" s="5"/>
      <c r="K134" s="5"/>
      <c r="L134" s="5"/>
      <c r="M134" s="5"/>
      <c r="N134" s="5"/>
      <c r="O134" s="5"/>
      <c r="P134" s="5"/>
      <c r="Q134" s="5"/>
      <c r="R134" s="5"/>
      <c r="S134" s="5"/>
      <c r="T134" s="5"/>
      <c r="U134" s="5"/>
      <c r="V134" s="5"/>
      <c r="W134" s="5"/>
      <c r="X134" s="5"/>
      <c r="Y134" s="5"/>
      <c r="Z134" s="5"/>
    </row>
    <row r="135" ht="15.75" customHeight="1">
      <c r="A135" s="10">
        <f>A134+1</f>
        <v>2</v>
      </c>
      <c r="B135" s="13" t="str">
        <f t="shared" si="34"/>
        <v>02-R-MIN-NAS-SBY</v>
      </c>
      <c r="C135" s="18" t="s">
        <v>150</v>
      </c>
      <c r="D135" s="13" t="s">
        <v>12</v>
      </c>
      <c r="E135" s="13" t="s">
        <v>12</v>
      </c>
      <c r="F135" s="14"/>
      <c r="G135" s="5"/>
      <c r="H135" s="5"/>
      <c r="I135" s="5"/>
      <c r="J135" s="5"/>
      <c r="K135" s="5"/>
      <c r="L135" s="5"/>
      <c r="M135" s="5"/>
      <c r="N135" s="5"/>
      <c r="O135" s="5"/>
      <c r="P135" s="5"/>
      <c r="Q135" s="5"/>
      <c r="R135" s="5"/>
      <c r="S135" s="5"/>
      <c r="T135" s="5"/>
      <c r="U135" s="5"/>
      <c r="V135" s="5"/>
      <c r="W135" s="5"/>
      <c r="X135" s="5"/>
      <c r="Y135" s="5"/>
      <c r="Z135" s="5"/>
    </row>
    <row r="136" ht="15.75" customHeight="1">
      <c r="A136" s="5"/>
      <c r="B136" s="21" t="s">
        <v>151</v>
      </c>
      <c r="C136" s="22"/>
      <c r="D136" s="22"/>
      <c r="E136" s="22"/>
      <c r="F136" s="22"/>
      <c r="G136" s="5"/>
      <c r="H136" s="5"/>
      <c r="I136" s="5"/>
      <c r="J136" s="5"/>
      <c r="K136" s="5"/>
      <c r="L136" s="5"/>
      <c r="M136" s="5"/>
      <c r="N136" s="5"/>
      <c r="O136" s="5"/>
      <c r="P136" s="5"/>
      <c r="Q136" s="5"/>
      <c r="R136" s="5"/>
      <c r="S136" s="5"/>
      <c r="T136" s="5"/>
      <c r="U136" s="5"/>
      <c r="V136" s="5"/>
      <c r="W136" s="5"/>
      <c r="X136" s="5"/>
      <c r="Y136" s="5"/>
      <c r="Z136" s="5"/>
    </row>
    <row r="137" ht="15.75" customHeight="1">
      <c r="A137" s="10">
        <f>0+1</f>
        <v>1</v>
      </c>
      <c r="B137" s="13" t="str">
        <f t="shared" ref="B137:B142" si="35">CONCATENATE("0",A137,"-R-MIN-NAS-IPA")</f>
        <v>01-R-MIN-NAS-IPA</v>
      </c>
      <c r="C137" s="18" t="s">
        <v>152</v>
      </c>
      <c r="D137" s="13" t="s">
        <v>12</v>
      </c>
      <c r="E137" s="13" t="s">
        <v>12</v>
      </c>
      <c r="F137" s="14"/>
      <c r="G137" s="5"/>
      <c r="H137" s="5"/>
      <c r="I137" s="5"/>
      <c r="J137" s="5"/>
      <c r="K137" s="5"/>
      <c r="L137" s="5"/>
      <c r="M137" s="5"/>
      <c r="N137" s="5"/>
      <c r="O137" s="5"/>
      <c r="P137" s="5"/>
      <c r="Q137" s="5"/>
      <c r="R137" s="5"/>
      <c r="S137" s="5"/>
      <c r="T137" s="5"/>
      <c r="U137" s="5"/>
      <c r="V137" s="5"/>
      <c r="W137" s="5"/>
      <c r="X137" s="5"/>
      <c r="Y137" s="5"/>
      <c r="Z137" s="5"/>
    </row>
    <row r="138" ht="15.75" customHeight="1">
      <c r="A138" s="10">
        <f t="shared" ref="A138:A142" si="36">A137+1</f>
        <v>2</v>
      </c>
      <c r="B138" s="13" t="str">
        <f t="shared" si="35"/>
        <v>02-R-MIN-NAS-IPA</v>
      </c>
      <c r="C138" s="18" t="s">
        <v>153</v>
      </c>
      <c r="D138" s="13" t="s">
        <v>12</v>
      </c>
      <c r="E138" s="13" t="s">
        <v>12</v>
      </c>
      <c r="F138" s="14"/>
      <c r="G138" s="5"/>
      <c r="H138" s="5"/>
      <c r="I138" s="5"/>
      <c r="J138" s="5"/>
      <c r="K138" s="5"/>
      <c r="L138" s="5"/>
      <c r="M138" s="5"/>
      <c r="N138" s="5"/>
      <c r="O138" s="5"/>
      <c r="P138" s="5"/>
      <c r="Q138" s="5"/>
      <c r="R138" s="5"/>
      <c r="S138" s="5"/>
      <c r="T138" s="5"/>
      <c r="U138" s="5"/>
      <c r="V138" s="5"/>
      <c r="W138" s="5"/>
      <c r="X138" s="5"/>
      <c r="Y138" s="5"/>
      <c r="Z138" s="5"/>
    </row>
    <row r="139" ht="15.75" customHeight="1">
      <c r="A139" s="10">
        <f t="shared" si="36"/>
        <v>3</v>
      </c>
      <c r="B139" s="13" t="str">
        <f t="shared" si="35"/>
        <v>03-R-MIN-NAS-IPA</v>
      </c>
      <c r="C139" s="18" t="s">
        <v>154</v>
      </c>
      <c r="D139" s="13" t="s">
        <v>12</v>
      </c>
      <c r="E139" s="13" t="s">
        <v>12</v>
      </c>
      <c r="F139" s="14"/>
      <c r="G139" s="5"/>
      <c r="H139" s="5"/>
      <c r="I139" s="5"/>
      <c r="J139" s="5"/>
      <c r="K139" s="5"/>
      <c r="L139" s="5"/>
      <c r="M139" s="5"/>
      <c r="N139" s="5"/>
      <c r="O139" s="5"/>
      <c r="P139" s="5"/>
      <c r="Q139" s="5"/>
      <c r="R139" s="5"/>
      <c r="S139" s="5"/>
      <c r="T139" s="5"/>
      <c r="U139" s="5"/>
      <c r="V139" s="5"/>
      <c r="W139" s="5"/>
      <c r="X139" s="5"/>
      <c r="Y139" s="5"/>
      <c r="Z139" s="5"/>
    </row>
    <row r="140" ht="15.75" customHeight="1">
      <c r="A140" s="10">
        <f t="shared" si="36"/>
        <v>4</v>
      </c>
      <c r="B140" s="13" t="str">
        <f t="shared" si="35"/>
        <v>04-R-MIN-NAS-IPA</v>
      </c>
      <c r="C140" s="18" t="s">
        <v>155</v>
      </c>
      <c r="D140" s="13" t="s">
        <v>12</v>
      </c>
      <c r="E140" s="13" t="s">
        <v>12</v>
      </c>
      <c r="F140" s="14"/>
      <c r="G140" s="5"/>
      <c r="H140" s="5"/>
      <c r="I140" s="5"/>
      <c r="J140" s="5"/>
      <c r="K140" s="5"/>
      <c r="L140" s="5"/>
      <c r="M140" s="5"/>
      <c r="N140" s="5"/>
      <c r="O140" s="5"/>
      <c r="P140" s="5"/>
      <c r="Q140" s="5"/>
      <c r="R140" s="5"/>
      <c r="S140" s="5"/>
      <c r="T140" s="5"/>
      <c r="U140" s="5"/>
      <c r="V140" s="5"/>
      <c r="W140" s="5"/>
      <c r="X140" s="5"/>
      <c r="Y140" s="5"/>
      <c r="Z140" s="5"/>
    </row>
    <row r="141" ht="15.75" customHeight="1">
      <c r="A141" s="10">
        <f t="shared" si="36"/>
        <v>5</v>
      </c>
      <c r="B141" s="13" t="str">
        <f t="shared" si="35"/>
        <v>05-R-MIN-NAS-IPA</v>
      </c>
      <c r="C141" s="18" t="s">
        <v>156</v>
      </c>
      <c r="D141" s="13" t="s">
        <v>12</v>
      </c>
      <c r="E141" s="13" t="s">
        <v>12</v>
      </c>
      <c r="F141" s="14"/>
      <c r="G141" s="5"/>
      <c r="H141" s="5"/>
      <c r="I141" s="5"/>
      <c r="J141" s="5"/>
      <c r="K141" s="5"/>
      <c r="L141" s="5"/>
      <c r="M141" s="5"/>
      <c r="N141" s="5"/>
      <c r="O141" s="5"/>
      <c r="P141" s="5"/>
      <c r="Q141" s="5"/>
      <c r="R141" s="5"/>
      <c r="S141" s="5"/>
      <c r="T141" s="5"/>
      <c r="U141" s="5"/>
      <c r="V141" s="5"/>
      <c r="W141" s="5"/>
      <c r="X141" s="5"/>
      <c r="Y141" s="5"/>
      <c r="Z141" s="5"/>
    </row>
    <row r="142" ht="15.75" customHeight="1">
      <c r="A142" s="10">
        <f t="shared" si="36"/>
        <v>6</v>
      </c>
      <c r="B142" s="13" t="str">
        <f t="shared" si="35"/>
        <v>06-R-MIN-NAS-IPA</v>
      </c>
      <c r="C142" s="18" t="s">
        <v>157</v>
      </c>
      <c r="D142" s="13" t="s">
        <v>12</v>
      </c>
      <c r="E142" s="13" t="s">
        <v>12</v>
      </c>
      <c r="F142" s="14"/>
      <c r="G142" s="5"/>
      <c r="H142" s="5"/>
      <c r="I142" s="5"/>
      <c r="J142" s="5"/>
      <c r="K142" s="5"/>
      <c r="L142" s="5"/>
      <c r="M142" s="5"/>
      <c r="N142" s="5"/>
      <c r="O142" s="5"/>
      <c r="P142" s="5"/>
      <c r="Q142" s="5"/>
      <c r="R142" s="5"/>
      <c r="S142" s="5"/>
      <c r="T142" s="5"/>
      <c r="U142" s="5"/>
      <c r="V142" s="5"/>
      <c r="W142" s="5"/>
      <c r="X142" s="5"/>
      <c r="Y142" s="5"/>
      <c r="Z142" s="5"/>
    </row>
    <row r="143" ht="15.75" customHeight="1">
      <c r="A143" s="10"/>
      <c r="B143" s="21" t="s">
        <v>158</v>
      </c>
      <c r="C143" s="22"/>
      <c r="D143" s="22" t="s">
        <v>12</v>
      </c>
      <c r="E143" s="22" t="s">
        <v>12</v>
      </c>
      <c r="F143" s="22"/>
      <c r="G143" s="5"/>
      <c r="H143" s="5"/>
      <c r="I143" s="5"/>
      <c r="J143" s="5"/>
      <c r="K143" s="5"/>
      <c r="L143" s="5"/>
      <c r="M143" s="5"/>
      <c r="N143" s="5"/>
      <c r="O143" s="5"/>
      <c r="P143" s="5"/>
      <c r="Q143" s="5"/>
      <c r="R143" s="5"/>
      <c r="S143" s="5"/>
      <c r="T143" s="5"/>
      <c r="U143" s="5"/>
      <c r="V143" s="5"/>
      <c r="W143" s="5"/>
      <c r="X143" s="5"/>
      <c r="Y143" s="5"/>
      <c r="Z143" s="5"/>
    </row>
    <row r="144" ht="15.75" customHeight="1">
      <c r="A144" s="10">
        <f>0+1</f>
        <v>1</v>
      </c>
      <c r="B144" s="13" t="str">
        <f t="shared" ref="B144:B149" si="37">CONCATENATE("0",A144,"-R-MIN-NAS-MGT")</f>
        <v>01-R-MIN-NAS-MGT</v>
      </c>
      <c r="C144" s="18" t="s">
        <v>159</v>
      </c>
      <c r="D144" s="13" t="s">
        <v>12</v>
      </c>
      <c r="E144" s="13" t="s">
        <v>12</v>
      </c>
      <c r="F144" s="14"/>
      <c r="G144" s="5"/>
      <c r="H144" s="5"/>
      <c r="I144" s="5"/>
      <c r="J144" s="5"/>
      <c r="K144" s="5"/>
      <c r="L144" s="5"/>
      <c r="M144" s="5"/>
      <c r="N144" s="5"/>
      <c r="O144" s="5"/>
      <c r="P144" s="5"/>
      <c r="Q144" s="5"/>
      <c r="R144" s="5"/>
      <c r="S144" s="5"/>
      <c r="T144" s="5"/>
      <c r="U144" s="5"/>
      <c r="V144" s="5"/>
      <c r="W144" s="5"/>
      <c r="X144" s="5"/>
      <c r="Y144" s="5"/>
      <c r="Z144" s="5"/>
    </row>
    <row r="145" ht="15.75" customHeight="1">
      <c r="A145" s="10">
        <f t="shared" ref="A145:A149" si="38">A144+1</f>
        <v>2</v>
      </c>
      <c r="B145" s="13" t="str">
        <f t="shared" si="37"/>
        <v>02-R-MIN-NAS-MGT</v>
      </c>
      <c r="C145" s="18" t="s">
        <v>160</v>
      </c>
      <c r="D145" s="13" t="s">
        <v>12</v>
      </c>
      <c r="E145" s="13" t="s">
        <v>12</v>
      </c>
      <c r="F145" s="14"/>
      <c r="G145" s="5"/>
      <c r="H145" s="5"/>
      <c r="I145" s="5"/>
      <c r="J145" s="5"/>
      <c r="K145" s="5"/>
      <c r="L145" s="5"/>
      <c r="M145" s="5"/>
      <c r="N145" s="5"/>
      <c r="O145" s="5"/>
      <c r="P145" s="5"/>
      <c r="Q145" s="5"/>
      <c r="R145" s="5"/>
      <c r="S145" s="5"/>
      <c r="T145" s="5"/>
      <c r="U145" s="5"/>
      <c r="V145" s="5"/>
      <c r="W145" s="5"/>
      <c r="X145" s="5"/>
      <c r="Y145" s="5"/>
      <c r="Z145" s="5"/>
    </row>
    <row r="146" ht="15.75" customHeight="1">
      <c r="A146" s="10">
        <f t="shared" si="38"/>
        <v>3</v>
      </c>
      <c r="B146" s="13" t="str">
        <f t="shared" si="37"/>
        <v>03-R-MIN-NAS-MGT</v>
      </c>
      <c r="C146" s="18" t="s">
        <v>161</v>
      </c>
      <c r="D146" s="13" t="s">
        <v>12</v>
      </c>
      <c r="E146" s="13" t="s">
        <v>12</v>
      </c>
      <c r="F146" s="14"/>
      <c r="G146" s="5"/>
      <c r="H146" s="5"/>
      <c r="I146" s="5"/>
      <c r="J146" s="5"/>
      <c r="K146" s="5"/>
      <c r="L146" s="5"/>
      <c r="M146" s="5"/>
      <c r="N146" s="5"/>
      <c r="O146" s="5"/>
      <c r="P146" s="5"/>
      <c r="Q146" s="5"/>
      <c r="R146" s="5"/>
      <c r="S146" s="5"/>
      <c r="T146" s="5"/>
      <c r="U146" s="5"/>
      <c r="V146" s="5"/>
      <c r="W146" s="5"/>
      <c r="X146" s="5"/>
      <c r="Y146" s="5"/>
      <c r="Z146" s="5"/>
    </row>
    <row r="147" ht="15.75" customHeight="1">
      <c r="A147" s="10">
        <f t="shared" si="38"/>
        <v>4</v>
      </c>
      <c r="B147" s="13" t="str">
        <f t="shared" si="37"/>
        <v>04-R-MIN-NAS-MGT</v>
      </c>
      <c r="C147" s="18" t="s">
        <v>162</v>
      </c>
      <c r="D147" s="13" t="s">
        <v>12</v>
      </c>
      <c r="E147" s="13" t="s">
        <v>12</v>
      </c>
      <c r="F147" s="14"/>
      <c r="G147" s="5"/>
      <c r="H147" s="5"/>
      <c r="I147" s="5"/>
      <c r="J147" s="5"/>
      <c r="K147" s="5"/>
      <c r="L147" s="5"/>
      <c r="M147" s="5"/>
      <c r="N147" s="5"/>
      <c r="O147" s="5"/>
      <c r="P147" s="5"/>
      <c r="Q147" s="5"/>
      <c r="R147" s="5"/>
      <c r="S147" s="5"/>
      <c r="T147" s="5"/>
      <c r="U147" s="5"/>
      <c r="V147" s="5"/>
      <c r="W147" s="5"/>
      <c r="X147" s="5"/>
      <c r="Y147" s="5"/>
      <c r="Z147" s="5"/>
    </row>
    <row r="148" ht="15.75" customHeight="1">
      <c r="A148" s="10">
        <f t="shared" si="38"/>
        <v>5</v>
      </c>
      <c r="B148" s="13" t="str">
        <f t="shared" si="37"/>
        <v>05-R-MIN-NAS-MGT</v>
      </c>
      <c r="C148" s="18" t="s">
        <v>163</v>
      </c>
      <c r="D148" s="13" t="s">
        <v>12</v>
      </c>
      <c r="E148" s="13" t="s">
        <v>12</v>
      </c>
      <c r="F148" s="14"/>
      <c r="G148" s="5"/>
      <c r="H148" s="5"/>
      <c r="I148" s="5"/>
      <c r="J148" s="5"/>
      <c r="K148" s="5"/>
      <c r="L148" s="5"/>
      <c r="M148" s="5"/>
      <c r="N148" s="5"/>
      <c r="O148" s="5"/>
      <c r="P148" s="5"/>
      <c r="Q148" s="5"/>
      <c r="R148" s="5"/>
      <c r="S148" s="5"/>
      <c r="T148" s="5"/>
      <c r="U148" s="5"/>
      <c r="V148" s="5"/>
      <c r="W148" s="5"/>
      <c r="X148" s="5"/>
      <c r="Y148" s="5"/>
      <c r="Z148" s="5"/>
    </row>
    <row r="149" ht="15.75" customHeight="1">
      <c r="A149" s="10">
        <f t="shared" si="38"/>
        <v>6</v>
      </c>
      <c r="B149" s="13" t="str">
        <f t="shared" si="37"/>
        <v>06-R-MIN-NAS-MGT</v>
      </c>
      <c r="C149" s="18" t="s">
        <v>164</v>
      </c>
      <c r="D149" s="13" t="s">
        <v>12</v>
      </c>
      <c r="E149" s="13" t="s">
        <v>12</v>
      </c>
      <c r="F149" s="14"/>
      <c r="G149" s="5"/>
      <c r="H149" s="5"/>
      <c r="I149" s="5"/>
      <c r="J149" s="5"/>
      <c r="K149" s="5"/>
      <c r="L149" s="5"/>
      <c r="M149" s="5"/>
      <c r="N149" s="5"/>
      <c r="O149" s="5"/>
      <c r="P149" s="5"/>
      <c r="Q149" s="5"/>
      <c r="R149" s="5"/>
      <c r="S149" s="5"/>
      <c r="T149" s="5"/>
      <c r="U149" s="5"/>
      <c r="V149" s="5"/>
      <c r="W149" s="5"/>
      <c r="X149" s="5"/>
      <c r="Y149" s="5"/>
      <c r="Z149" s="5"/>
    </row>
    <row r="150" ht="15.75" customHeight="1">
      <c r="A150" s="10"/>
      <c r="B150" s="21" t="s">
        <v>165</v>
      </c>
      <c r="C150" s="22"/>
      <c r="D150" s="22"/>
      <c r="E150" s="22"/>
      <c r="F150" s="22"/>
      <c r="G150" s="5"/>
      <c r="H150" s="5"/>
      <c r="I150" s="5"/>
      <c r="J150" s="5"/>
      <c r="K150" s="5"/>
      <c r="L150" s="5"/>
      <c r="M150" s="5"/>
      <c r="N150" s="5"/>
      <c r="O150" s="5"/>
      <c r="P150" s="5"/>
      <c r="Q150" s="5"/>
      <c r="R150" s="5"/>
      <c r="S150" s="5"/>
      <c r="T150" s="5"/>
      <c r="U150" s="5"/>
      <c r="V150" s="5"/>
      <c r="W150" s="5"/>
      <c r="X150" s="5"/>
      <c r="Y150" s="5"/>
      <c r="Z150" s="5"/>
    </row>
    <row r="151" ht="36.0" customHeight="1">
      <c r="A151" s="10">
        <f>0+1</f>
        <v>1</v>
      </c>
      <c r="B151" s="13" t="str">
        <f t="shared" ref="B151:B155" si="39">CONCATENATE("0",A151,"-R-MIN-NAS-ARC")</f>
        <v>01-R-MIN-NAS-ARC</v>
      </c>
      <c r="C151" s="18" t="s">
        <v>166</v>
      </c>
      <c r="D151" s="13" t="s">
        <v>12</v>
      </c>
      <c r="E151" s="13" t="s">
        <v>12</v>
      </c>
      <c r="F151" s="14"/>
      <c r="G151" s="5"/>
      <c r="H151" s="5"/>
      <c r="I151" s="5"/>
      <c r="J151" s="5"/>
      <c r="K151" s="5"/>
      <c r="L151" s="5"/>
      <c r="M151" s="5"/>
      <c r="N151" s="5"/>
      <c r="O151" s="5"/>
      <c r="P151" s="5"/>
      <c r="Q151" s="5"/>
      <c r="R151" s="5"/>
      <c r="S151" s="5"/>
      <c r="T151" s="5"/>
      <c r="U151" s="5"/>
      <c r="V151" s="5"/>
      <c r="W151" s="5"/>
      <c r="X151" s="5"/>
      <c r="Y151" s="5"/>
      <c r="Z151" s="5"/>
    </row>
    <row r="152" ht="15.75" customHeight="1">
      <c r="A152" s="10">
        <f t="shared" ref="A152:A155" si="40">A151+1</f>
        <v>2</v>
      </c>
      <c r="B152" s="13" t="str">
        <f t="shared" si="39"/>
        <v>02-R-MIN-NAS-ARC</v>
      </c>
      <c r="C152" s="18" t="s">
        <v>167</v>
      </c>
      <c r="D152" s="13" t="s">
        <v>12</v>
      </c>
      <c r="E152" s="13" t="s">
        <v>12</v>
      </c>
      <c r="F152" s="14"/>
      <c r="G152" s="5"/>
      <c r="H152" s="5"/>
      <c r="I152" s="5"/>
      <c r="J152" s="5"/>
      <c r="K152" s="5"/>
      <c r="L152" s="5"/>
      <c r="M152" s="5"/>
      <c r="N152" s="5"/>
      <c r="O152" s="5"/>
      <c r="P152" s="5"/>
      <c r="Q152" s="5"/>
      <c r="R152" s="5"/>
      <c r="S152" s="5"/>
      <c r="T152" s="5"/>
      <c r="U152" s="5"/>
      <c r="V152" s="5"/>
      <c r="W152" s="5"/>
      <c r="X152" s="5"/>
      <c r="Y152" s="5"/>
      <c r="Z152" s="5"/>
    </row>
    <row r="153" ht="15.75" customHeight="1">
      <c r="A153" s="10">
        <f t="shared" si="40"/>
        <v>3</v>
      </c>
      <c r="B153" s="13" t="str">
        <f t="shared" si="39"/>
        <v>03-R-MIN-NAS-ARC</v>
      </c>
      <c r="C153" s="18" t="s">
        <v>168</v>
      </c>
      <c r="D153" s="13" t="s">
        <v>12</v>
      </c>
      <c r="E153" s="13" t="s">
        <v>12</v>
      </c>
      <c r="F153" s="14"/>
      <c r="G153" s="5"/>
      <c r="H153" s="5"/>
      <c r="I153" s="5"/>
      <c r="J153" s="5"/>
      <c r="K153" s="5"/>
      <c r="L153" s="5"/>
      <c r="M153" s="5"/>
      <c r="N153" s="5"/>
      <c r="O153" s="5"/>
      <c r="P153" s="5"/>
      <c r="Q153" s="5"/>
      <c r="R153" s="5"/>
      <c r="S153" s="5"/>
      <c r="T153" s="5"/>
      <c r="U153" s="5"/>
      <c r="V153" s="5"/>
      <c r="W153" s="5"/>
      <c r="X153" s="5"/>
      <c r="Y153" s="5"/>
      <c r="Z153" s="5"/>
    </row>
    <row r="154" ht="36.75" customHeight="1">
      <c r="A154" s="10">
        <f t="shared" si="40"/>
        <v>4</v>
      </c>
      <c r="B154" s="13" t="str">
        <f t="shared" si="39"/>
        <v>04-R-MIN-NAS-ARC</v>
      </c>
      <c r="C154" s="18" t="s">
        <v>169</v>
      </c>
      <c r="D154" s="13" t="s">
        <v>12</v>
      </c>
      <c r="E154" s="13" t="s">
        <v>12</v>
      </c>
      <c r="F154" s="14"/>
      <c r="G154" s="5" t="s">
        <v>170</v>
      </c>
      <c r="H154" s="5"/>
      <c r="I154" s="5"/>
      <c r="J154" s="5"/>
      <c r="K154" s="5"/>
      <c r="L154" s="5"/>
      <c r="M154" s="5"/>
      <c r="N154" s="5"/>
      <c r="O154" s="5"/>
      <c r="P154" s="5"/>
      <c r="Q154" s="5"/>
      <c r="R154" s="5"/>
      <c r="S154" s="5"/>
      <c r="T154" s="5"/>
      <c r="U154" s="5"/>
      <c r="V154" s="5"/>
      <c r="W154" s="5"/>
      <c r="X154" s="5"/>
      <c r="Y154" s="5"/>
      <c r="Z154" s="5"/>
    </row>
    <row r="155" ht="15.75" customHeight="1">
      <c r="A155" s="10">
        <f t="shared" si="40"/>
        <v>5</v>
      </c>
      <c r="B155" s="13" t="str">
        <f t="shared" si="39"/>
        <v>05-R-MIN-NAS-ARC</v>
      </c>
      <c r="C155" s="18" t="s">
        <v>171</v>
      </c>
      <c r="D155" s="13" t="s">
        <v>12</v>
      </c>
      <c r="E155" s="13" t="s">
        <v>12</v>
      </c>
      <c r="F155" s="14"/>
      <c r="G155" s="5"/>
      <c r="H155" s="5"/>
      <c r="I155" s="5"/>
      <c r="J155" s="5"/>
      <c r="K155" s="5"/>
      <c r="L155" s="5"/>
      <c r="M155" s="5"/>
      <c r="N155" s="5"/>
      <c r="O155" s="5"/>
      <c r="P155" s="5"/>
      <c r="Q155" s="5"/>
      <c r="R155" s="5"/>
      <c r="S155" s="5"/>
      <c r="T155" s="5"/>
      <c r="U155" s="5"/>
      <c r="V155" s="5"/>
      <c r="W155" s="5"/>
      <c r="X155" s="5"/>
      <c r="Y155" s="5"/>
      <c r="Z155" s="5"/>
    </row>
    <row r="156" ht="15.75" customHeight="1">
      <c r="A156" s="10"/>
      <c r="B156" s="21" t="s">
        <v>172</v>
      </c>
      <c r="C156" s="22"/>
      <c r="D156" s="22" t="s">
        <v>12</v>
      </c>
      <c r="E156" s="22" t="s">
        <v>12</v>
      </c>
      <c r="F156" s="22"/>
      <c r="G156" s="5"/>
      <c r="H156" s="5"/>
      <c r="I156" s="5"/>
      <c r="J156" s="5"/>
      <c r="K156" s="5"/>
      <c r="L156" s="5"/>
      <c r="M156" s="5"/>
      <c r="N156" s="5"/>
      <c r="O156" s="5"/>
      <c r="P156" s="5"/>
      <c r="Q156" s="5"/>
      <c r="R156" s="5"/>
      <c r="S156" s="5"/>
      <c r="T156" s="5"/>
      <c r="U156" s="5"/>
      <c r="V156" s="5"/>
      <c r="W156" s="5"/>
      <c r="X156" s="5"/>
      <c r="Y156" s="5"/>
      <c r="Z156" s="5"/>
    </row>
    <row r="157" ht="15.75" customHeight="1">
      <c r="A157" s="10">
        <f>0+1</f>
        <v>1</v>
      </c>
      <c r="B157" s="13" t="str">
        <f t="shared" ref="B157:B161" si="41">CONCATENATE("0",A157,"-R-MIN-NAS-SSW")</f>
        <v>01-R-MIN-NAS-SSW</v>
      </c>
      <c r="C157" s="18" t="s">
        <v>173</v>
      </c>
      <c r="D157" s="13" t="s">
        <v>12</v>
      </c>
      <c r="E157" s="13" t="s">
        <v>12</v>
      </c>
      <c r="F157" s="14"/>
      <c r="G157" s="5"/>
      <c r="H157" s="5"/>
      <c r="I157" s="5"/>
      <c r="J157" s="5"/>
      <c r="K157" s="5"/>
      <c r="L157" s="5"/>
      <c r="M157" s="5"/>
      <c r="N157" s="5"/>
      <c r="O157" s="5"/>
      <c r="P157" s="5"/>
      <c r="Q157" s="5"/>
      <c r="R157" s="5"/>
      <c r="S157" s="5"/>
      <c r="T157" s="5"/>
      <c r="U157" s="5"/>
      <c r="V157" s="5"/>
      <c r="W157" s="5"/>
      <c r="X157" s="5"/>
      <c r="Y157" s="5"/>
      <c r="Z157" s="5"/>
    </row>
    <row r="158" ht="15.75" customHeight="1">
      <c r="A158" s="10">
        <f t="shared" ref="A158:A161" si="42">A157+1</f>
        <v>2</v>
      </c>
      <c r="B158" s="13" t="str">
        <f t="shared" si="41"/>
        <v>02-R-MIN-NAS-SSW</v>
      </c>
      <c r="C158" s="18" t="s">
        <v>174</v>
      </c>
      <c r="D158" s="13" t="s">
        <v>12</v>
      </c>
      <c r="E158" s="13" t="s">
        <v>12</v>
      </c>
      <c r="F158" s="14"/>
      <c r="G158" s="5"/>
      <c r="H158" s="5"/>
      <c r="I158" s="5"/>
      <c r="J158" s="5"/>
      <c r="K158" s="5"/>
      <c r="L158" s="5"/>
      <c r="M158" s="5"/>
      <c r="N158" s="5"/>
      <c r="O158" s="5"/>
      <c r="P158" s="5"/>
      <c r="Q158" s="5"/>
      <c r="R158" s="5"/>
      <c r="S158" s="5"/>
      <c r="T158" s="5"/>
      <c r="U158" s="5"/>
      <c r="V158" s="5"/>
      <c r="W158" s="5"/>
      <c r="X158" s="5"/>
      <c r="Y158" s="5"/>
      <c r="Z158" s="5"/>
    </row>
    <row r="159" ht="15.75" customHeight="1">
      <c r="A159" s="10">
        <f t="shared" si="42"/>
        <v>3</v>
      </c>
      <c r="B159" s="13" t="str">
        <f t="shared" si="41"/>
        <v>03-R-MIN-NAS-SSW</v>
      </c>
      <c r="C159" s="18" t="s">
        <v>175</v>
      </c>
      <c r="D159" s="13" t="s">
        <v>12</v>
      </c>
      <c r="E159" s="13" t="s">
        <v>12</v>
      </c>
      <c r="F159" s="14"/>
      <c r="G159" s="5"/>
      <c r="H159" s="5"/>
      <c r="I159" s="5"/>
      <c r="J159" s="5"/>
      <c r="K159" s="5"/>
      <c r="L159" s="5"/>
      <c r="M159" s="5"/>
      <c r="N159" s="5"/>
      <c r="O159" s="5"/>
      <c r="P159" s="5"/>
      <c r="Q159" s="5"/>
      <c r="R159" s="5"/>
      <c r="S159" s="5"/>
      <c r="T159" s="5"/>
      <c r="U159" s="5"/>
      <c r="V159" s="5"/>
      <c r="W159" s="5"/>
      <c r="X159" s="5"/>
      <c r="Y159" s="5"/>
      <c r="Z159" s="5"/>
    </row>
    <row r="160" ht="15.75" customHeight="1">
      <c r="A160" s="10">
        <f t="shared" si="42"/>
        <v>4</v>
      </c>
      <c r="B160" s="13" t="str">
        <f t="shared" si="41"/>
        <v>04-R-MIN-NAS-SSW</v>
      </c>
      <c r="C160" s="18" t="s">
        <v>176</v>
      </c>
      <c r="D160" s="13" t="s">
        <v>12</v>
      </c>
      <c r="E160" s="13" t="s">
        <v>12</v>
      </c>
      <c r="F160" s="14"/>
      <c r="G160" s="5"/>
      <c r="H160" s="5"/>
      <c r="I160" s="5"/>
      <c r="J160" s="5"/>
      <c r="K160" s="5"/>
      <c r="L160" s="5"/>
      <c r="M160" s="5"/>
      <c r="N160" s="5"/>
      <c r="O160" s="5"/>
      <c r="P160" s="5"/>
      <c r="Q160" s="5"/>
      <c r="R160" s="5"/>
      <c r="S160" s="5"/>
      <c r="T160" s="5"/>
      <c r="U160" s="5"/>
      <c r="V160" s="5"/>
      <c r="W160" s="5"/>
      <c r="X160" s="5"/>
      <c r="Y160" s="5"/>
      <c r="Z160" s="5"/>
    </row>
    <row r="161" ht="15.75" customHeight="1">
      <c r="A161" s="10">
        <f t="shared" si="42"/>
        <v>5</v>
      </c>
      <c r="B161" s="13" t="str">
        <f t="shared" si="41"/>
        <v>05-R-MIN-NAS-SSW</v>
      </c>
      <c r="C161" s="18" t="s">
        <v>177</v>
      </c>
      <c r="D161" s="13" t="s">
        <v>12</v>
      </c>
      <c r="E161" s="13" t="s">
        <v>12</v>
      </c>
      <c r="F161" s="14"/>
      <c r="G161" s="5"/>
      <c r="H161" s="5"/>
      <c r="I161" s="5"/>
      <c r="J161" s="5"/>
      <c r="K161" s="5"/>
      <c r="L161" s="5"/>
      <c r="M161" s="5"/>
      <c r="N161" s="5"/>
      <c r="O161" s="5"/>
      <c r="P161" s="5"/>
      <c r="Q161" s="5"/>
      <c r="R161" s="5"/>
      <c r="S161" s="5"/>
      <c r="T161" s="5"/>
      <c r="U161" s="5"/>
      <c r="V161" s="5"/>
      <c r="W161" s="5"/>
      <c r="X161" s="5"/>
      <c r="Y161" s="5"/>
      <c r="Z161" s="5"/>
    </row>
    <row r="162" ht="15.75" customHeight="1">
      <c r="A162" s="5"/>
      <c r="B162" s="15" t="s">
        <v>178</v>
      </c>
      <c r="C162" s="8"/>
      <c r="D162" s="8"/>
      <c r="E162" s="8"/>
      <c r="F162" s="9"/>
      <c r="G162" s="5"/>
      <c r="H162" s="5"/>
      <c r="I162" s="5"/>
      <c r="J162" s="5"/>
      <c r="K162" s="5"/>
      <c r="L162" s="5"/>
      <c r="M162" s="5"/>
      <c r="N162" s="5"/>
      <c r="O162" s="5"/>
      <c r="P162" s="5"/>
      <c r="Q162" s="5"/>
      <c r="R162" s="5"/>
      <c r="S162" s="5"/>
      <c r="T162" s="5"/>
      <c r="U162" s="5"/>
      <c r="V162" s="5"/>
      <c r="W162" s="5"/>
      <c r="X162" s="5"/>
      <c r="Y162" s="5"/>
      <c r="Z162" s="5"/>
    </row>
    <row r="163" ht="15.75" customHeight="1">
      <c r="A163" s="5"/>
      <c r="B163" s="21" t="s">
        <v>64</v>
      </c>
      <c r="C163" s="22"/>
      <c r="D163" s="22"/>
      <c r="E163" s="22"/>
      <c r="F163" s="22"/>
      <c r="G163" s="5"/>
      <c r="H163" s="5"/>
      <c r="I163" s="5"/>
      <c r="J163" s="5"/>
      <c r="K163" s="5"/>
      <c r="L163" s="5"/>
      <c r="M163" s="5"/>
      <c r="N163" s="5"/>
      <c r="O163" s="5"/>
      <c r="P163" s="5"/>
      <c r="Q163" s="5"/>
      <c r="R163" s="5"/>
      <c r="S163" s="5"/>
      <c r="T163" s="5"/>
      <c r="U163" s="5"/>
      <c r="V163" s="5"/>
      <c r="W163" s="5"/>
      <c r="X163" s="5"/>
      <c r="Y163" s="5"/>
      <c r="Z163" s="5"/>
    </row>
    <row r="164" ht="15.75" customHeight="1">
      <c r="A164" s="10">
        <f>0+1</f>
        <v>1</v>
      </c>
      <c r="B164" s="13" t="str">
        <f>CONCATENATE("0",A164,"-R-MIN-BKP-GEN")</f>
        <v>01-R-MIN-BKP-GEN</v>
      </c>
      <c r="C164" s="18" t="s">
        <v>179</v>
      </c>
      <c r="D164" s="13" t="s">
        <v>12</v>
      </c>
      <c r="E164" s="13" t="s">
        <v>12</v>
      </c>
      <c r="F164" s="14"/>
      <c r="G164" s="5"/>
      <c r="H164" s="5"/>
      <c r="I164" s="5"/>
      <c r="J164" s="5"/>
      <c r="K164" s="5"/>
      <c r="L164" s="5"/>
      <c r="M164" s="5"/>
      <c r="N164" s="5"/>
      <c r="O164" s="5"/>
      <c r="P164" s="5"/>
      <c r="Q164" s="5"/>
      <c r="R164" s="5"/>
      <c r="S164" s="5"/>
      <c r="T164" s="5"/>
      <c r="U164" s="5"/>
      <c r="V164" s="5"/>
      <c r="W164" s="5"/>
      <c r="X164" s="5"/>
      <c r="Y164" s="5"/>
      <c r="Z164" s="5"/>
    </row>
    <row r="165" ht="15.75" customHeight="1">
      <c r="A165" s="10"/>
      <c r="B165" s="21" t="s">
        <v>165</v>
      </c>
      <c r="C165" s="22"/>
      <c r="D165" s="22"/>
      <c r="E165" s="22"/>
      <c r="F165" s="22"/>
      <c r="G165" s="5"/>
      <c r="H165" s="5"/>
      <c r="I165" s="5"/>
      <c r="J165" s="5"/>
      <c r="K165" s="5"/>
      <c r="L165" s="5"/>
      <c r="M165" s="5"/>
      <c r="N165" s="5"/>
      <c r="O165" s="5"/>
      <c r="P165" s="5"/>
      <c r="Q165" s="5"/>
      <c r="R165" s="5"/>
      <c r="S165" s="5"/>
      <c r="T165" s="5"/>
      <c r="U165" s="5"/>
      <c r="V165" s="5"/>
      <c r="W165" s="5"/>
      <c r="X165" s="5"/>
      <c r="Y165" s="5"/>
      <c r="Z165" s="5"/>
    </row>
    <row r="166" ht="15.75" customHeight="1">
      <c r="A166" s="10">
        <f>0+1</f>
        <v>1</v>
      </c>
      <c r="B166" s="13" t="str">
        <f t="shared" ref="B166:B168" si="43">CONCATENATE("0",A166,"-R-MIN-BKP-ARC")</f>
        <v>01-R-MIN-BKP-ARC</v>
      </c>
      <c r="C166" s="18" t="s">
        <v>180</v>
      </c>
      <c r="D166" s="13" t="s">
        <v>12</v>
      </c>
      <c r="E166" s="13" t="s">
        <v>12</v>
      </c>
      <c r="F166" s="14"/>
      <c r="G166" s="5"/>
      <c r="H166" s="5"/>
      <c r="I166" s="5"/>
      <c r="J166" s="5"/>
      <c r="K166" s="5"/>
      <c r="L166" s="5"/>
      <c r="M166" s="5"/>
      <c r="N166" s="5"/>
      <c r="O166" s="5"/>
      <c r="P166" s="5"/>
      <c r="Q166" s="5"/>
      <c r="R166" s="5"/>
      <c r="S166" s="5"/>
      <c r="T166" s="5"/>
      <c r="U166" s="5"/>
      <c r="V166" s="5"/>
      <c r="W166" s="5"/>
      <c r="X166" s="5"/>
      <c r="Y166" s="5"/>
      <c r="Z166" s="5"/>
    </row>
    <row r="167" ht="15.75" customHeight="1">
      <c r="A167" s="10">
        <f t="shared" ref="A167:A168" si="44">A166+1</f>
        <v>2</v>
      </c>
      <c r="B167" s="13" t="str">
        <f t="shared" si="43"/>
        <v>02-R-MIN-BKP-ARC</v>
      </c>
      <c r="C167" s="18" t="s">
        <v>181</v>
      </c>
      <c r="D167" s="13" t="s">
        <v>12</v>
      </c>
      <c r="E167" s="13" t="s">
        <v>12</v>
      </c>
      <c r="F167" s="14"/>
      <c r="G167" s="5"/>
      <c r="H167" s="5"/>
      <c r="I167" s="5"/>
      <c r="J167" s="5"/>
      <c r="K167" s="5"/>
      <c r="L167" s="5"/>
      <c r="M167" s="5"/>
      <c r="N167" s="5"/>
      <c r="O167" s="5"/>
      <c r="P167" s="5"/>
      <c r="Q167" s="5"/>
      <c r="R167" s="5"/>
      <c r="S167" s="5"/>
      <c r="T167" s="5"/>
      <c r="U167" s="5"/>
      <c r="V167" s="5"/>
      <c r="W167" s="5"/>
      <c r="X167" s="5"/>
      <c r="Y167" s="5"/>
      <c r="Z167" s="5"/>
    </row>
    <row r="168" ht="15.75" customHeight="1">
      <c r="A168" s="10">
        <f t="shared" si="44"/>
        <v>3</v>
      </c>
      <c r="B168" s="13" t="str">
        <f t="shared" si="43"/>
        <v>03-R-MIN-BKP-ARC</v>
      </c>
      <c r="C168" s="18" t="s">
        <v>182</v>
      </c>
      <c r="D168" s="13" t="s">
        <v>12</v>
      </c>
      <c r="E168" s="13" t="s">
        <v>12</v>
      </c>
      <c r="F168" s="14"/>
      <c r="G168" s="5"/>
      <c r="H168" s="5"/>
      <c r="I168" s="5"/>
      <c r="J168" s="5"/>
      <c r="K168" s="5"/>
      <c r="L168" s="5"/>
      <c r="M168" s="5"/>
      <c r="N168" s="5"/>
      <c r="O168" s="5"/>
      <c r="P168" s="5"/>
      <c r="Q168" s="5"/>
      <c r="R168" s="5"/>
      <c r="S168" s="5"/>
      <c r="T168" s="5"/>
      <c r="U168" s="5"/>
      <c r="V168" s="5"/>
      <c r="W168" s="5"/>
      <c r="X168" s="5"/>
      <c r="Y168" s="5"/>
      <c r="Z168" s="5"/>
    </row>
    <row r="169" ht="15.75" customHeight="1">
      <c r="A169" s="5"/>
      <c r="B169" s="21" t="s">
        <v>90</v>
      </c>
      <c r="C169" s="22"/>
      <c r="D169" s="22"/>
      <c r="E169" s="22"/>
      <c r="F169" s="22"/>
      <c r="G169" s="5"/>
      <c r="H169" s="5"/>
      <c r="I169" s="5"/>
      <c r="J169" s="5"/>
      <c r="K169" s="5"/>
      <c r="L169" s="5"/>
      <c r="M169" s="5"/>
      <c r="N169" s="5"/>
      <c r="O169" s="5"/>
      <c r="P169" s="5"/>
      <c r="Q169" s="5"/>
      <c r="R169" s="5"/>
      <c r="S169" s="5"/>
      <c r="T169" s="5"/>
      <c r="U169" s="5"/>
      <c r="V169" s="5"/>
      <c r="W169" s="5"/>
      <c r="X169" s="5"/>
      <c r="Y169" s="5"/>
      <c r="Z169" s="5"/>
    </row>
    <row r="170" ht="15.75" customHeight="1">
      <c r="A170" s="10">
        <f>0+1</f>
        <v>1</v>
      </c>
      <c r="B170" s="13" t="str">
        <f t="shared" ref="B170:B172" si="45">CONCATENATE("0",A170,"-R-MIN-BKP-AVY")</f>
        <v>01-R-MIN-BKP-AVY</v>
      </c>
      <c r="C170" s="18" t="s">
        <v>183</v>
      </c>
      <c r="D170" s="13" t="s">
        <v>12</v>
      </c>
      <c r="E170" s="13" t="s">
        <v>12</v>
      </c>
      <c r="F170" s="14"/>
      <c r="G170" s="5"/>
      <c r="H170" s="5"/>
      <c r="I170" s="5"/>
      <c r="J170" s="5"/>
      <c r="K170" s="5"/>
      <c r="L170" s="5"/>
      <c r="M170" s="5"/>
      <c r="N170" s="5"/>
      <c r="O170" s="5"/>
      <c r="P170" s="5"/>
      <c r="Q170" s="5"/>
      <c r="R170" s="5"/>
      <c r="S170" s="5"/>
      <c r="T170" s="5"/>
      <c r="U170" s="5"/>
      <c r="V170" s="5"/>
      <c r="W170" s="5"/>
      <c r="X170" s="5"/>
      <c r="Y170" s="5"/>
      <c r="Z170" s="5"/>
    </row>
    <row r="171" ht="15.75" customHeight="1">
      <c r="A171" s="10">
        <f t="shared" ref="A171:A172" si="46">A170+1</f>
        <v>2</v>
      </c>
      <c r="B171" s="13" t="str">
        <f t="shared" si="45"/>
        <v>02-R-MIN-BKP-AVY</v>
      </c>
      <c r="C171" s="18" t="s">
        <v>184</v>
      </c>
      <c r="D171" s="13" t="s">
        <v>12</v>
      </c>
      <c r="E171" s="13" t="s">
        <v>12</v>
      </c>
      <c r="F171" s="14"/>
      <c r="G171" s="5"/>
      <c r="H171" s="5"/>
      <c r="I171" s="5"/>
      <c r="J171" s="5"/>
      <c r="K171" s="5"/>
      <c r="L171" s="5"/>
      <c r="M171" s="5"/>
      <c r="N171" s="5"/>
      <c r="O171" s="5"/>
      <c r="P171" s="5"/>
      <c r="Q171" s="5"/>
      <c r="R171" s="5"/>
      <c r="S171" s="5"/>
      <c r="T171" s="5"/>
      <c r="U171" s="5"/>
      <c r="V171" s="5"/>
      <c r="W171" s="5"/>
      <c r="X171" s="5"/>
      <c r="Y171" s="5"/>
      <c r="Z171" s="5"/>
    </row>
    <row r="172" ht="15.75" customHeight="1">
      <c r="A172" s="10">
        <f t="shared" si="46"/>
        <v>3</v>
      </c>
      <c r="B172" s="13" t="str">
        <f t="shared" si="45"/>
        <v>03-R-MIN-BKP-AVY</v>
      </c>
      <c r="C172" s="18" t="s">
        <v>185</v>
      </c>
      <c r="D172" s="13" t="s">
        <v>12</v>
      </c>
      <c r="E172" s="13" t="s">
        <v>12</v>
      </c>
      <c r="F172" s="14"/>
      <c r="G172" s="5"/>
      <c r="H172" s="5"/>
      <c r="I172" s="5"/>
      <c r="J172" s="5"/>
      <c r="K172" s="5"/>
      <c r="L172" s="5"/>
      <c r="M172" s="5"/>
      <c r="N172" s="5"/>
      <c r="O172" s="5"/>
      <c r="P172" s="5"/>
      <c r="Q172" s="5"/>
      <c r="R172" s="5"/>
      <c r="S172" s="5"/>
      <c r="T172" s="5"/>
      <c r="U172" s="5"/>
      <c r="V172" s="5"/>
      <c r="W172" s="5"/>
      <c r="X172" s="5"/>
      <c r="Y172" s="5"/>
      <c r="Z172" s="5"/>
    </row>
    <row r="173" ht="15.75" customHeight="1">
      <c r="A173" s="5"/>
      <c r="B173" s="21" t="s">
        <v>82</v>
      </c>
      <c r="C173" s="22"/>
      <c r="D173" s="22"/>
      <c r="E173" s="22"/>
      <c r="F173" s="22"/>
      <c r="G173" s="5"/>
      <c r="H173" s="5"/>
      <c r="I173" s="5"/>
      <c r="J173" s="5"/>
      <c r="K173" s="5"/>
      <c r="L173" s="5"/>
      <c r="M173" s="5"/>
      <c r="N173" s="5"/>
      <c r="O173" s="5"/>
      <c r="P173" s="5"/>
      <c r="Q173" s="5"/>
      <c r="R173" s="5"/>
      <c r="S173" s="5"/>
      <c r="T173" s="5"/>
      <c r="U173" s="5"/>
      <c r="V173" s="5"/>
      <c r="W173" s="5"/>
      <c r="X173" s="5"/>
      <c r="Y173" s="5"/>
      <c r="Z173" s="5"/>
    </row>
    <row r="174" ht="15.75" customHeight="1">
      <c r="A174" s="10">
        <f>0+1</f>
        <v>1</v>
      </c>
      <c r="B174" s="13" t="str">
        <f>CONCATENATE("0",A174,"-R-MIN-BKP-SBY")</f>
        <v>01-R-MIN-BKP-SBY</v>
      </c>
      <c r="C174" s="18" t="s">
        <v>186</v>
      </c>
      <c r="D174" s="13" t="s">
        <v>12</v>
      </c>
      <c r="E174" s="13" t="s">
        <v>12</v>
      </c>
      <c r="F174" s="14"/>
      <c r="G174" s="5"/>
      <c r="H174" s="5"/>
      <c r="I174" s="5"/>
      <c r="J174" s="5"/>
      <c r="K174" s="5"/>
      <c r="L174" s="5"/>
      <c r="M174" s="5"/>
      <c r="N174" s="5"/>
      <c r="O174" s="5"/>
      <c r="P174" s="5"/>
      <c r="Q174" s="5"/>
      <c r="R174" s="5"/>
      <c r="S174" s="5"/>
      <c r="T174" s="5"/>
      <c r="U174" s="5"/>
      <c r="V174" s="5"/>
      <c r="W174" s="5"/>
      <c r="X174" s="5"/>
      <c r="Y174" s="5"/>
      <c r="Z174" s="5"/>
    </row>
    <row r="175" ht="15.75" customHeight="1">
      <c r="A175" s="5"/>
      <c r="B175" s="21" t="s">
        <v>137</v>
      </c>
      <c r="C175" s="22"/>
      <c r="D175" s="22"/>
      <c r="E175" s="22"/>
      <c r="F175" s="22"/>
      <c r="G175" s="5"/>
      <c r="H175" s="5"/>
      <c r="I175" s="5"/>
      <c r="J175" s="5"/>
      <c r="K175" s="5"/>
      <c r="L175" s="5"/>
      <c r="M175" s="5"/>
      <c r="N175" s="5"/>
      <c r="O175" s="5"/>
      <c r="P175" s="5"/>
      <c r="Q175" s="5"/>
      <c r="R175" s="5"/>
      <c r="S175" s="5"/>
      <c r="T175" s="5"/>
      <c r="U175" s="5"/>
      <c r="V175" s="5"/>
      <c r="W175" s="5"/>
      <c r="X175" s="5"/>
      <c r="Y175" s="5"/>
      <c r="Z175" s="5"/>
    </row>
    <row r="176" ht="15.75" customHeight="1">
      <c r="A176" s="10">
        <f>0+1</f>
        <v>1</v>
      </c>
      <c r="B176" s="13" t="str">
        <f t="shared" ref="B176:B179" si="47">CONCATENATE("0",A176,"-R-MIN-BKP-FTY")</f>
        <v>01-R-MIN-BKP-FTY</v>
      </c>
      <c r="C176" s="18" t="s">
        <v>187</v>
      </c>
      <c r="D176" s="13" t="s">
        <v>12</v>
      </c>
      <c r="E176" s="13" t="s">
        <v>12</v>
      </c>
      <c r="F176" s="14"/>
      <c r="G176" s="5"/>
      <c r="H176" s="5"/>
      <c r="I176" s="5"/>
      <c r="J176" s="5"/>
      <c r="K176" s="5"/>
      <c r="L176" s="5"/>
      <c r="M176" s="5"/>
      <c r="N176" s="5"/>
      <c r="O176" s="5"/>
      <c r="P176" s="5"/>
      <c r="Q176" s="5"/>
      <c r="R176" s="5"/>
      <c r="S176" s="5"/>
      <c r="T176" s="5"/>
      <c r="U176" s="5"/>
      <c r="V176" s="5"/>
      <c r="W176" s="5"/>
      <c r="X176" s="5"/>
      <c r="Y176" s="5"/>
      <c r="Z176" s="5"/>
    </row>
    <row r="177" ht="15.75" customHeight="1">
      <c r="A177" s="10">
        <f t="shared" ref="A177:A179" si="48">A176+1</f>
        <v>2</v>
      </c>
      <c r="B177" s="13" t="str">
        <f t="shared" si="47"/>
        <v>02-R-MIN-BKP-FTY</v>
      </c>
      <c r="C177" s="18" t="s">
        <v>188</v>
      </c>
      <c r="D177" s="13" t="s">
        <v>12</v>
      </c>
      <c r="E177" s="13" t="s">
        <v>12</v>
      </c>
      <c r="F177" s="14"/>
      <c r="G177" s="5"/>
      <c r="H177" s="5"/>
      <c r="I177" s="5"/>
      <c r="J177" s="5"/>
      <c r="K177" s="5"/>
      <c r="L177" s="5"/>
      <c r="M177" s="5"/>
      <c r="N177" s="5"/>
      <c r="O177" s="5"/>
      <c r="P177" s="5"/>
      <c r="Q177" s="5"/>
      <c r="R177" s="5"/>
      <c r="S177" s="5"/>
      <c r="T177" s="5"/>
      <c r="U177" s="5"/>
      <c r="V177" s="5"/>
      <c r="W177" s="5"/>
      <c r="X177" s="5"/>
      <c r="Y177" s="5"/>
      <c r="Z177" s="5"/>
    </row>
    <row r="178" ht="15.75" customHeight="1">
      <c r="A178" s="10">
        <f t="shared" si="48"/>
        <v>3</v>
      </c>
      <c r="B178" s="13" t="str">
        <f t="shared" si="47"/>
        <v>03-R-MIN-BKP-FTY</v>
      </c>
      <c r="C178" s="18" t="s">
        <v>189</v>
      </c>
      <c r="D178" s="13" t="s">
        <v>12</v>
      </c>
      <c r="E178" s="13" t="s">
        <v>12</v>
      </c>
      <c r="F178" s="14"/>
      <c r="G178" s="5"/>
      <c r="H178" s="5"/>
      <c r="I178" s="5"/>
      <c r="J178" s="5"/>
      <c r="K178" s="5"/>
      <c r="L178" s="5"/>
      <c r="M178" s="5"/>
      <c r="N178" s="5"/>
      <c r="O178" s="5"/>
      <c r="P178" s="5"/>
      <c r="Q178" s="5"/>
      <c r="R178" s="5"/>
      <c r="S178" s="5"/>
      <c r="T178" s="5"/>
      <c r="U178" s="5"/>
      <c r="V178" s="5"/>
      <c r="W178" s="5"/>
      <c r="X178" s="5"/>
      <c r="Y178" s="5"/>
      <c r="Z178" s="5"/>
    </row>
    <row r="179" ht="15.75" customHeight="1">
      <c r="A179" s="10">
        <f t="shared" si="48"/>
        <v>4</v>
      </c>
      <c r="B179" s="13" t="str">
        <f t="shared" si="47"/>
        <v>04-R-MIN-BKP-FTY</v>
      </c>
      <c r="C179" s="18" t="s">
        <v>190</v>
      </c>
      <c r="D179" s="13" t="s">
        <v>12</v>
      </c>
      <c r="E179" s="13" t="s">
        <v>12</v>
      </c>
      <c r="F179" s="14"/>
      <c r="G179" s="5"/>
      <c r="H179" s="5"/>
      <c r="I179" s="5"/>
      <c r="J179" s="5"/>
      <c r="K179" s="5"/>
      <c r="L179" s="5"/>
      <c r="M179" s="5"/>
      <c r="N179" s="5"/>
      <c r="O179" s="5"/>
      <c r="P179" s="5"/>
      <c r="Q179" s="5"/>
      <c r="R179" s="5"/>
      <c r="S179" s="5"/>
      <c r="T179" s="5"/>
      <c r="U179" s="5"/>
      <c r="V179" s="5"/>
      <c r="W179" s="5"/>
      <c r="X179" s="5"/>
      <c r="Y179" s="5"/>
      <c r="Z179" s="5"/>
    </row>
    <row r="180" ht="15.75" customHeight="1">
      <c r="A180" s="5"/>
      <c r="B180" s="21" t="s">
        <v>191</v>
      </c>
      <c r="C180" s="22"/>
      <c r="D180" s="22"/>
      <c r="E180" s="22"/>
      <c r="F180" s="22"/>
      <c r="G180" s="5"/>
      <c r="H180" s="5"/>
      <c r="I180" s="5"/>
      <c r="J180" s="5"/>
      <c r="K180" s="5"/>
      <c r="L180" s="5"/>
      <c r="M180" s="5"/>
      <c r="N180" s="5"/>
      <c r="O180" s="5"/>
      <c r="P180" s="5"/>
      <c r="Q180" s="5"/>
      <c r="R180" s="5"/>
      <c r="S180" s="5"/>
      <c r="T180" s="5"/>
      <c r="U180" s="5"/>
      <c r="V180" s="5"/>
      <c r="W180" s="5"/>
      <c r="X180" s="5"/>
      <c r="Y180" s="5"/>
      <c r="Z180" s="5"/>
    </row>
    <row r="181" ht="15.75" customHeight="1">
      <c r="A181" s="10">
        <f>0+1</f>
        <v>1</v>
      </c>
      <c r="B181" s="13" t="str">
        <f t="shared" ref="B181:B185" si="49">CONCATENATE("0",A181,"-R-MIN-BKP-SSW")</f>
        <v>01-R-MIN-BKP-SSW</v>
      </c>
      <c r="C181" s="18" t="s">
        <v>192</v>
      </c>
      <c r="D181" s="13" t="s">
        <v>12</v>
      </c>
      <c r="E181" s="13" t="s">
        <v>12</v>
      </c>
      <c r="F181" s="14"/>
      <c r="G181" s="5"/>
      <c r="H181" s="5"/>
      <c r="I181" s="5"/>
      <c r="J181" s="5"/>
      <c r="K181" s="5"/>
      <c r="L181" s="5"/>
      <c r="M181" s="5"/>
      <c r="N181" s="5"/>
      <c r="O181" s="5"/>
      <c r="P181" s="5"/>
      <c r="Q181" s="5"/>
      <c r="R181" s="5"/>
      <c r="S181" s="5"/>
      <c r="T181" s="5"/>
      <c r="U181" s="5"/>
      <c r="V181" s="5"/>
      <c r="W181" s="5"/>
      <c r="X181" s="5"/>
      <c r="Y181" s="5"/>
      <c r="Z181" s="5"/>
    </row>
    <row r="182" ht="15.75" customHeight="1">
      <c r="A182" s="10">
        <f t="shared" ref="A182:A185" si="50">A181+1</f>
        <v>2</v>
      </c>
      <c r="B182" s="13" t="str">
        <f t="shared" si="49"/>
        <v>02-R-MIN-BKP-SSW</v>
      </c>
      <c r="C182" s="18" t="s">
        <v>193</v>
      </c>
      <c r="D182" s="13" t="s">
        <v>12</v>
      </c>
      <c r="E182" s="13" t="s">
        <v>12</v>
      </c>
      <c r="F182" s="14"/>
      <c r="G182" s="5"/>
      <c r="H182" s="5"/>
      <c r="I182" s="5"/>
      <c r="J182" s="5"/>
      <c r="K182" s="5"/>
      <c r="L182" s="5"/>
      <c r="M182" s="5"/>
      <c r="N182" s="5"/>
      <c r="O182" s="5"/>
      <c r="P182" s="5"/>
      <c r="Q182" s="5"/>
      <c r="R182" s="5"/>
      <c r="S182" s="5"/>
      <c r="T182" s="5"/>
      <c r="U182" s="5"/>
      <c r="V182" s="5"/>
      <c r="W182" s="5"/>
      <c r="X182" s="5"/>
      <c r="Y182" s="5"/>
      <c r="Z182" s="5"/>
    </row>
    <row r="183" ht="15.75" customHeight="1">
      <c r="A183" s="10">
        <f t="shared" si="50"/>
        <v>3</v>
      </c>
      <c r="B183" s="13" t="str">
        <f t="shared" si="49"/>
        <v>03-R-MIN-BKP-SSW</v>
      </c>
      <c r="C183" s="18" t="s">
        <v>194</v>
      </c>
      <c r="D183" s="13" t="s">
        <v>12</v>
      </c>
      <c r="E183" s="13" t="s">
        <v>12</v>
      </c>
      <c r="F183" s="14"/>
      <c r="G183" s="5"/>
      <c r="H183" s="5"/>
      <c r="I183" s="5"/>
      <c r="J183" s="5"/>
      <c r="K183" s="5"/>
      <c r="L183" s="5"/>
      <c r="M183" s="5"/>
      <c r="N183" s="5"/>
      <c r="O183" s="5"/>
      <c r="P183" s="5"/>
      <c r="Q183" s="5"/>
      <c r="R183" s="5"/>
      <c r="S183" s="5"/>
      <c r="T183" s="5"/>
      <c r="U183" s="5"/>
      <c r="V183" s="5"/>
      <c r="W183" s="5"/>
      <c r="X183" s="5"/>
      <c r="Y183" s="5"/>
      <c r="Z183" s="5"/>
    </row>
    <row r="184" ht="84.0" customHeight="1">
      <c r="A184" s="10">
        <f t="shared" si="50"/>
        <v>4</v>
      </c>
      <c r="B184" s="13" t="str">
        <f t="shared" si="49"/>
        <v>04-R-MIN-BKP-SSW</v>
      </c>
      <c r="C184" s="18" t="s">
        <v>195</v>
      </c>
      <c r="D184" s="13" t="s">
        <v>12</v>
      </c>
      <c r="E184" s="13" t="s">
        <v>12</v>
      </c>
      <c r="F184" s="14"/>
      <c r="G184" s="5"/>
      <c r="H184" s="5"/>
      <c r="I184" s="5"/>
      <c r="J184" s="5"/>
      <c r="K184" s="5"/>
      <c r="L184" s="5"/>
      <c r="M184" s="5"/>
      <c r="N184" s="5"/>
      <c r="O184" s="5"/>
      <c r="P184" s="5"/>
      <c r="Q184" s="5"/>
      <c r="R184" s="5"/>
      <c r="S184" s="5"/>
      <c r="T184" s="5"/>
      <c r="U184" s="5"/>
      <c r="V184" s="5"/>
      <c r="W184" s="5"/>
      <c r="X184" s="5"/>
      <c r="Y184" s="5"/>
      <c r="Z184" s="5"/>
    </row>
    <row r="185" ht="15.75" customHeight="1">
      <c r="A185" s="10">
        <f t="shared" si="50"/>
        <v>5</v>
      </c>
      <c r="B185" s="13" t="str">
        <f t="shared" si="49"/>
        <v>05-R-MIN-BKP-SSW</v>
      </c>
      <c r="C185" s="18" t="s">
        <v>196</v>
      </c>
      <c r="D185" s="13" t="s">
        <v>12</v>
      </c>
      <c r="E185" s="13" t="s">
        <v>12</v>
      </c>
      <c r="F185" s="14"/>
      <c r="G185" s="5"/>
      <c r="H185" s="5"/>
      <c r="I185" s="5"/>
      <c r="J185" s="5"/>
      <c r="K185" s="5"/>
      <c r="L185" s="5"/>
      <c r="M185" s="5"/>
      <c r="N185" s="5"/>
      <c r="O185" s="5"/>
      <c r="P185" s="5"/>
      <c r="Q185" s="5"/>
      <c r="R185" s="5"/>
      <c r="S185" s="5"/>
      <c r="T185" s="5"/>
      <c r="U185" s="5"/>
      <c r="V185" s="5"/>
      <c r="W185" s="5"/>
      <c r="X185" s="5"/>
      <c r="Y185" s="5"/>
      <c r="Z185" s="5"/>
    </row>
    <row r="186" ht="15.75" customHeight="1">
      <c r="A186" s="5"/>
      <c r="B186" s="15" t="s">
        <v>197</v>
      </c>
      <c r="C186" s="8"/>
      <c r="D186" s="8"/>
      <c r="E186" s="8"/>
      <c r="F186" s="9"/>
      <c r="G186" s="5"/>
      <c r="H186" s="5"/>
      <c r="I186" s="5"/>
      <c r="J186" s="5"/>
      <c r="K186" s="5"/>
      <c r="L186" s="5"/>
      <c r="M186" s="5"/>
      <c r="N186" s="5"/>
      <c r="O186" s="5"/>
      <c r="P186" s="5"/>
      <c r="Q186" s="5"/>
      <c r="R186" s="5"/>
      <c r="S186" s="5"/>
      <c r="T186" s="5"/>
      <c r="U186" s="5"/>
      <c r="V186" s="5"/>
      <c r="W186" s="5"/>
      <c r="X186" s="5"/>
      <c r="Y186" s="5"/>
      <c r="Z186" s="5"/>
    </row>
    <row r="187" ht="15.75" customHeight="1">
      <c r="A187" s="5"/>
      <c r="B187" s="21" t="s">
        <v>64</v>
      </c>
      <c r="C187" s="22"/>
      <c r="D187" s="22"/>
      <c r="E187" s="22"/>
      <c r="F187" s="22"/>
      <c r="G187" s="5"/>
      <c r="H187" s="5"/>
      <c r="I187" s="5"/>
      <c r="J187" s="5"/>
      <c r="K187" s="5"/>
      <c r="L187" s="5"/>
      <c r="M187" s="5"/>
      <c r="N187" s="5"/>
      <c r="O187" s="5"/>
      <c r="P187" s="5"/>
      <c r="Q187" s="5"/>
      <c r="R187" s="5"/>
      <c r="S187" s="5"/>
      <c r="T187" s="5"/>
      <c r="U187" s="5"/>
      <c r="V187" s="5"/>
      <c r="W187" s="5"/>
      <c r="X187" s="5"/>
      <c r="Y187" s="5"/>
      <c r="Z187" s="5"/>
    </row>
    <row r="188" ht="15.75" customHeight="1">
      <c r="A188" s="10">
        <f>0+1</f>
        <v>1</v>
      </c>
      <c r="B188" s="13" t="str">
        <f t="shared" ref="B188:B189" si="51">CONCATENATE("0",A188,"-R-MIN-RPA-GEN")</f>
        <v>01-R-MIN-RPA-GEN</v>
      </c>
      <c r="C188" s="18" t="s">
        <v>198</v>
      </c>
      <c r="D188" s="13" t="s">
        <v>12</v>
      </c>
      <c r="E188" s="13" t="s">
        <v>12</v>
      </c>
      <c r="F188" s="14"/>
      <c r="G188" s="5"/>
      <c r="H188" s="5"/>
      <c r="I188" s="5"/>
      <c r="J188" s="5"/>
      <c r="K188" s="5"/>
      <c r="L188" s="5"/>
      <c r="M188" s="5"/>
      <c r="N188" s="5"/>
      <c r="O188" s="5"/>
      <c r="P188" s="5"/>
      <c r="Q188" s="5"/>
      <c r="R188" s="5"/>
      <c r="S188" s="5"/>
      <c r="T188" s="5"/>
      <c r="U188" s="5"/>
      <c r="V188" s="5"/>
      <c r="W188" s="5"/>
      <c r="X188" s="5"/>
      <c r="Y188" s="5"/>
      <c r="Z188" s="5"/>
    </row>
    <row r="189" ht="15.75" customHeight="1">
      <c r="A189" s="10">
        <f>A188+1</f>
        <v>2</v>
      </c>
      <c r="B189" s="13" t="str">
        <f t="shared" si="51"/>
        <v>02-R-MIN-RPA-GEN</v>
      </c>
      <c r="C189" s="18" t="s">
        <v>199</v>
      </c>
      <c r="D189" s="13" t="s">
        <v>12</v>
      </c>
      <c r="E189" s="13" t="s">
        <v>12</v>
      </c>
      <c r="F189" s="14"/>
      <c r="G189" s="5"/>
      <c r="H189" s="5"/>
      <c r="I189" s="5"/>
      <c r="J189" s="5"/>
      <c r="K189" s="5"/>
      <c r="L189" s="5"/>
      <c r="M189" s="5"/>
      <c r="N189" s="5"/>
      <c r="O189" s="5"/>
      <c r="P189" s="5"/>
      <c r="Q189" s="5"/>
      <c r="R189" s="5"/>
      <c r="S189" s="5"/>
      <c r="T189" s="5"/>
      <c r="U189" s="5"/>
      <c r="V189" s="5"/>
      <c r="W189" s="5"/>
      <c r="X189" s="5"/>
      <c r="Y189" s="5"/>
      <c r="Z189" s="5"/>
    </row>
    <row r="190" ht="15.75" customHeight="1">
      <c r="A190" s="5"/>
      <c r="B190" s="15" t="s">
        <v>200</v>
      </c>
      <c r="C190" s="8"/>
      <c r="D190" s="8"/>
      <c r="E190" s="8"/>
      <c r="F190" s="9"/>
      <c r="G190" s="5"/>
      <c r="H190" s="5"/>
      <c r="I190" s="5"/>
      <c r="J190" s="5"/>
      <c r="K190" s="5"/>
      <c r="L190" s="5"/>
      <c r="M190" s="5"/>
      <c r="N190" s="5"/>
      <c r="O190" s="5"/>
      <c r="P190" s="5"/>
      <c r="Q190" s="5"/>
      <c r="R190" s="5"/>
      <c r="S190" s="5"/>
      <c r="T190" s="5"/>
      <c r="U190" s="5"/>
      <c r="V190" s="5"/>
      <c r="W190" s="5"/>
      <c r="X190" s="5"/>
      <c r="Y190" s="5"/>
      <c r="Z190" s="5"/>
    </row>
    <row r="191" ht="15.75" customHeight="1">
      <c r="A191" s="5"/>
      <c r="B191" s="21" t="s">
        <v>64</v>
      </c>
      <c r="C191" s="22"/>
      <c r="D191" s="22"/>
      <c r="E191" s="22"/>
      <c r="F191" s="22"/>
      <c r="G191" s="5"/>
      <c r="H191" s="5"/>
      <c r="I191" s="5"/>
      <c r="J191" s="5"/>
      <c r="K191" s="5"/>
      <c r="L191" s="5"/>
      <c r="M191" s="5"/>
      <c r="N191" s="5"/>
      <c r="O191" s="5"/>
      <c r="P191" s="5"/>
      <c r="Q191" s="5"/>
      <c r="R191" s="5"/>
      <c r="S191" s="5"/>
      <c r="T191" s="5"/>
      <c r="U191" s="5"/>
      <c r="V191" s="5"/>
      <c r="W191" s="5"/>
      <c r="X191" s="5"/>
      <c r="Y191" s="5"/>
      <c r="Z191" s="5"/>
    </row>
    <row r="192" ht="15.75" customHeight="1">
      <c r="A192" s="10">
        <f>0+1</f>
        <v>1</v>
      </c>
      <c r="B192" s="13" t="str">
        <f t="shared" ref="B192:B193" si="52">CONCATENATE("0",A192,"-R-MIN-TNG-GEN")</f>
        <v>01-R-MIN-TNG-GEN</v>
      </c>
      <c r="C192" s="18" t="s">
        <v>201</v>
      </c>
      <c r="D192" s="13" t="s">
        <v>12</v>
      </c>
      <c r="E192" s="13" t="s">
        <v>12</v>
      </c>
      <c r="F192" s="14"/>
      <c r="G192" s="5"/>
      <c r="H192" s="5"/>
      <c r="I192" s="5"/>
      <c r="J192" s="5"/>
      <c r="K192" s="5"/>
      <c r="L192" s="5"/>
      <c r="M192" s="5"/>
      <c r="N192" s="5"/>
      <c r="O192" s="5"/>
      <c r="P192" s="5"/>
      <c r="Q192" s="5"/>
      <c r="R192" s="5"/>
      <c r="S192" s="5"/>
      <c r="T192" s="5"/>
      <c r="U192" s="5"/>
      <c r="V192" s="5"/>
      <c r="W192" s="5"/>
      <c r="X192" s="5"/>
      <c r="Y192" s="5"/>
      <c r="Z192" s="5"/>
    </row>
    <row r="193" ht="15.75" customHeight="1">
      <c r="A193" s="10">
        <f>A192+1</f>
        <v>2</v>
      </c>
      <c r="B193" s="13" t="str">
        <f t="shared" si="52"/>
        <v>02-R-MIN-TNG-GEN</v>
      </c>
      <c r="C193" s="18" t="s">
        <v>202</v>
      </c>
      <c r="D193" s="13" t="s">
        <v>12</v>
      </c>
      <c r="E193" s="13" t="s">
        <v>12</v>
      </c>
      <c r="F193" s="14"/>
      <c r="G193" s="5"/>
      <c r="H193" s="5"/>
      <c r="I193" s="5"/>
      <c r="J193" s="5"/>
      <c r="K193" s="5"/>
      <c r="L193" s="5"/>
      <c r="M193" s="5"/>
      <c r="N193" s="5"/>
      <c r="O193" s="5"/>
      <c r="P193" s="5"/>
      <c r="Q193" s="5"/>
      <c r="R193" s="5"/>
      <c r="S193" s="5"/>
      <c r="T193" s="5"/>
      <c r="U193" s="5"/>
      <c r="V193" s="5"/>
      <c r="W193" s="5"/>
      <c r="X193" s="5"/>
      <c r="Y193" s="5"/>
      <c r="Z193" s="5"/>
    </row>
    <row r="194" ht="15.75" hidden="1" customHeight="1">
      <c r="A194" s="5"/>
      <c r="B194" s="15" t="s">
        <v>203</v>
      </c>
      <c r="C194" s="8"/>
      <c r="D194" s="8"/>
      <c r="E194" s="8"/>
      <c r="F194" s="9"/>
      <c r="G194" s="5"/>
      <c r="H194" s="5"/>
      <c r="I194" s="5"/>
      <c r="J194" s="5"/>
      <c r="K194" s="5"/>
      <c r="L194" s="5"/>
      <c r="M194" s="5"/>
      <c r="N194" s="5"/>
      <c r="O194" s="5"/>
      <c r="P194" s="5"/>
      <c r="Q194" s="5"/>
      <c r="R194" s="5"/>
      <c r="S194" s="5"/>
      <c r="T194" s="5"/>
      <c r="U194" s="5"/>
      <c r="V194" s="5"/>
      <c r="W194" s="5"/>
      <c r="X194" s="5"/>
      <c r="Y194" s="5"/>
      <c r="Z194" s="5"/>
    </row>
    <row r="195" ht="15.75" hidden="1" customHeight="1">
      <c r="A195" s="5"/>
      <c r="B195" s="21" t="s">
        <v>64</v>
      </c>
      <c r="C195" s="22"/>
      <c r="D195" s="22"/>
      <c r="E195" s="22"/>
      <c r="F195" s="22"/>
      <c r="G195" s="5"/>
      <c r="H195" s="5"/>
      <c r="I195" s="5"/>
      <c r="J195" s="5"/>
      <c r="K195" s="5"/>
      <c r="L195" s="5"/>
      <c r="M195" s="5"/>
      <c r="N195" s="5"/>
      <c r="O195" s="5"/>
      <c r="P195" s="5"/>
      <c r="Q195" s="5"/>
      <c r="R195" s="5"/>
      <c r="S195" s="5"/>
      <c r="T195" s="5"/>
      <c r="U195" s="5"/>
      <c r="V195" s="5"/>
      <c r="W195" s="5"/>
      <c r="X195" s="5"/>
      <c r="Y195" s="5"/>
      <c r="Z195" s="5"/>
    </row>
    <row r="196" ht="15.75" hidden="1" customHeight="1">
      <c r="A196" s="10">
        <f>0+1</f>
        <v>1</v>
      </c>
      <c r="B196" s="13" t="str">
        <f t="shared" ref="B196:B197" si="53">CONCATENATE("0",A196,"-R-MIN-ALT-GEN")</f>
        <v>01-R-MIN-ALT-GEN</v>
      </c>
      <c r="C196" s="18" t="s">
        <v>204</v>
      </c>
      <c r="D196" s="13" t="s">
        <v>12</v>
      </c>
      <c r="E196" s="13" t="s">
        <v>12</v>
      </c>
      <c r="F196" s="14"/>
      <c r="G196" s="5"/>
      <c r="H196" s="5"/>
      <c r="I196" s="5"/>
      <c r="J196" s="5"/>
      <c r="K196" s="5"/>
      <c r="L196" s="5"/>
      <c r="M196" s="5"/>
      <c r="N196" s="5"/>
      <c r="O196" s="5"/>
      <c r="P196" s="5"/>
      <c r="Q196" s="5"/>
      <c r="R196" s="5"/>
      <c r="S196" s="5"/>
      <c r="T196" s="5"/>
      <c r="U196" s="5"/>
      <c r="V196" s="5"/>
      <c r="W196" s="5"/>
      <c r="X196" s="5"/>
      <c r="Y196" s="5"/>
      <c r="Z196" s="5"/>
    </row>
    <row r="197" ht="15.75" hidden="1" customHeight="1">
      <c r="A197" s="10">
        <v>2.0</v>
      </c>
      <c r="B197" s="13" t="str">
        <f t="shared" si="53"/>
        <v>02-R-MIN-ALT-GEN</v>
      </c>
      <c r="C197" s="18" t="s">
        <v>205</v>
      </c>
      <c r="D197" s="13" t="s">
        <v>12</v>
      </c>
      <c r="E197" s="13" t="s">
        <v>12</v>
      </c>
      <c r="F197" s="14"/>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4">
    <mergeCell ref="B47:F47"/>
    <mergeCell ref="B113:F113"/>
    <mergeCell ref="B118:B121"/>
    <mergeCell ref="B162:F162"/>
    <mergeCell ref="B186:F186"/>
    <mergeCell ref="B190:F190"/>
    <mergeCell ref="B194:F194"/>
    <mergeCell ref="B2:F2"/>
    <mergeCell ref="B4:F4"/>
    <mergeCell ref="B18:F18"/>
    <mergeCell ref="B24:F24"/>
    <mergeCell ref="A31:A35"/>
    <mergeCell ref="B31:B35"/>
    <mergeCell ref="C31:C35"/>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2.0"/>
    <col customWidth="1" min="2" max="4" width="32.57"/>
    <col customWidth="1" min="5" max="5" width="24.71"/>
    <col customWidth="1" min="6" max="6" width="25.0"/>
    <col customWidth="1" min="7" max="26" width="8.71"/>
  </cols>
  <sheetData>
    <row r="2">
      <c r="A2" s="31" t="s">
        <v>206</v>
      </c>
      <c r="B2" s="31"/>
      <c r="C2" s="31"/>
      <c r="D2" s="32"/>
    </row>
    <row r="4" ht="28.5" customHeight="1">
      <c r="A4" s="33" t="s">
        <v>207</v>
      </c>
      <c r="B4" s="34" t="s">
        <v>208</v>
      </c>
      <c r="C4" s="35" t="s">
        <v>209</v>
      </c>
    </row>
    <row r="5" ht="37.5" customHeight="1">
      <c r="A5" s="36" t="s">
        <v>210</v>
      </c>
      <c r="B5" s="37">
        <v>1.0</v>
      </c>
      <c r="C5" s="38" t="s">
        <v>211</v>
      </c>
    </row>
    <row r="6" ht="37.5" customHeight="1">
      <c r="A6" s="39" t="s">
        <v>212</v>
      </c>
      <c r="B6" s="40">
        <v>0.75</v>
      </c>
      <c r="C6" s="41" t="s">
        <v>213</v>
      </c>
    </row>
    <row r="7" ht="37.5" customHeight="1">
      <c r="A7" s="39" t="s">
        <v>214</v>
      </c>
      <c r="B7" s="42">
        <v>0.5</v>
      </c>
      <c r="C7" s="41" t="s">
        <v>215</v>
      </c>
    </row>
    <row r="8" ht="37.5" customHeight="1">
      <c r="A8" s="39" t="s">
        <v>216</v>
      </c>
      <c r="B8" s="40">
        <v>0.25</v>
      </c>
      <c r="C8" s="41" t="s">
        <v>217</v>
      </c>
    </row>
    <row r="9" ht="37.5" customHeight="1">
      <c r="A9" s="43" t="s">
        <v>218</v>
      </c>
      <c r="B9" s="44">
        <v>0.0</v>
      </c>
      <c r="C9" s="45" t="s">
        <v>219</v>
      </c>
    </row>
    <row r="11">
      <c r="B11" s="46" t="s">
        <v>220</v>
      </c>
      <c r="C11" s="8"/>
      <c r="D11" s="9"/>
      <c r="E11" s="47" t="s">
        <v>221</v>
      </c>
      <c r="F11" s="47" t="s">
        <v>222</v>
      </c>
    </row>
    <row r="12">
      <c r="A12" s="48" t="s">
        <v>223</v>
      </c>
      <c r="B12" s="49" t="s">
        <v>224</v>
      </c>
      <c r="C12" s="49" t="s">
        <v>225</v>
      </c>
      <c r="D12" s="49" t="s">
        <v>226</v>
      </c>
      <c r="E12" s="48" t="s">
        <v>227</v>
      </c>
      <c r="F12" s="48" t="s">
        <v>228</v>
      </c>
      <c r="G12" s="50"/>
      <c r="H12" s="50"/>
      <c r="I12" s="50"/>
      <c r="J12" s="50"/>
      <c r="K12" s="50"/>
      <c r="L12" s="50"/>
      <c r="M12" s="50"/>
      <c r="N12" s="50"/>
      <c r="O12" s="50"/>
      <c r="P12" s="50"/>
      <c r="Q12" s="50"/>
      <c r="R12" s="50"/>
      <c r="S12" s="50"/>
      <c r="T12" s="50"/>
      <c r="U12" s="50"/>
      <c r="V12" s="50"/>
      <c r="W12" s="50"/>
      <c r="X12" s="50"/>
      <c r="Y12" s="50"/>
      <c r="Z12" s="50"/>
    </row>
    <row r="13">
      <c r="A13" s="51" t="s">
        <v>229</v>
      </c>
      <c r="B13" s="52">
        <v>1.0</v>
      </c>
      <c r="C13" s="52">
        <v>1.0</v>
      </c>
      <c r="D13" s="52">
        <v>1.0</v>
      </c>
      <c r="E13" s="52">
        <f t="shared" ref="E13:E15" si="1">AVERAGE(B13:D13)</f>
        <v>1</v>
      </c>
      <c r="F13" s="53">
        <f>((E13*1)/(MAX(E13:E15)))</f>
        <v>1</v>
      </c>
      <c r="G13" s="1"/>
      <c r="H13" s="1"/>
      <c r="I13" s="1"/>
      <c r="J13" s="1"/>
      <c r="K13" s="1"/>
      <c r="L13" s="1"/>
      <c r="M13" s="1"/>
      <c r="N13" s="1"/>
      <c r="O13" s="1"/>
      <c r="P13" s="1"/>
      <c r="Q13" s="1"/>
      <c r="R13" s="1"/>
      <c r="S13" s="1"/>
      <c r="T13" s="1"/>
      <c r="U13" s="1"/>
      <c r="V13" s="1"/>
      <c r="W13" s="1"/>
      <c r="X13" s="1"/>
      <c r="Y13" s="1"/>
      <c r="Z13" s="1"/>
    </row>
    <row r="14" ht="17.25" hidden="1" customHeight="1">
      <c r="A14" s="51" t="s">
        <v>230</v>
      </c>
      <c r="B14" s="52">
        <v>0.0</v>
      </c>
      <c r="C14" s="52">
        <v>0.0</v>
      </c>
      <c r="D14" s="52">
        <v>0.0</v>
      </c>
      <c r="E14" s="52">
        <f t="shared" si="1"/>
        <v>0</v>
      </c>
      <c r="F14" s="53">
        <f>((E14*1)/(MAX(E13:E15)))</f>
        <v>0</v>
      </c>
      <c r="G14" s="1"/>
      <c r="H14" s="1"/>
      <c r="I14" s="1"/>
      <c r="J14" s="1"/>
      <c r="K14" s="1"/>
      <c r="L14" s="1"/>
      <c r="M14" s="1"/>
      <c r="N14" s="1"/>
      <c r="O14" s="1"/>
      <c r="P14" s="1"/>
      <c r="Q14" s="1"/>
      <c r="R14" s="1"/>
      <c r="S14" s="1"/>
      <c r="T14" s="1"/>
      <c r="U14" s="1"/>
      <c r="V14" s="1"/>
      <c r="W14" s="1"/>
      <c r="X14" s="1"/>
      <c r="Y14" s="1"/>
      <c r="Z14" s="1"/>
    </row>
    <row r="15" hidden="1">
      <c r="A15" s="51" t="s">
        <v>231</v>
      </c>
      <c r="B15" s="52">
        <v>0.0</v>
      </c>
      <c r="C15" s="52">
        <v>0.0</v>
      </c>
      <c r="D15" s="52">
        <v>0.0</v>
      </c>
      <c r="E15" s="52">
        <f t="shared" si="1"/>
        <v>0</v>
      </c>
      <c r="F15" s="53">
        <f>((E15*1)/(MAX(E13:E15)))</f>
        <v>0</v>
      </c>
      <c r="G15" s="1"/>
      <c r="H15" s="1"/>
      <c r="I15" s="1"/>
      <c r="J15" s="1"/>
      <c r="K15" s="1"/>
      <c r="L15" s="1"/>
      <c r="M15" s="1"/>
      <c r="N15" s="1"/>
      <c r="O15" s="1"/>
      <c r="P15" s="1"/>
      <c r="Q15" s="1"/>
      <c r="R15" s="1"/>
      <c r="S15" s="1"/>
      <c r="T15" s="1"/>
      <c r="U15" s="1"/>
      <c r="V15" s="1"/>
      <c r="W15" s="1"/>
      <c r="X15" s="1"/>
      <c r="Y15" s="1"/>
      <c r="Z15" s="1"/>
    </row>
    <row r="19">
      <c r="A19" s="5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1:D11"/>
  </mergeCells>
  <dataValidations>
    <dataValidation type="list" allowBlank="1" showErrorMessage="1" sqref="B13:D15">
      <formula1>$B$5:$B$9</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7.29"/>
    <col customWidth="1" min="2" max="2" width="24.71"/>
    <col customWidth="1" min="3" max="3" width="48.29"/>
    <col customWidth="1" min="4" max="4" width="9.43"/>
    <col customWidth="1" min="5" max="5" width="15.86"/>
    <col customWidth="1" min="6" max="6" width="37.43"/>
    <col customWidth="1" min="7" max="10" width="11.86"/>
    <col customWidth="1" hidden="1" min="11" max="12" width="11.86"/>
    <col customWidth="1" min="13" max="13" width="28.71"/>
    <col customWidth="1" hidden="1" min="14" max="15" width="28.71"/>
    <col customWidth="1" min="16" max="16" width="18.71"/>
    <col customWidth="1" min="17" max="17" width="9.14"/>
    <col customWidth="1" hidden="1" min="18" max="18" width="9.14"/>
    <col customWidth="1" min="19" max="26" width="9.14"/>
  </cols>
  <sheetData>
    <row r="1">
      <c r="A1" s="1"/>
      <c r="B1" s="55" t="s">
        <v>5</v>
      </c>
      <c r="C1" s="55" t="s">
        <v>6</v>
      </c>
      <c r="D1" s="55" t="s">
        <v>232</v>
      </c>
      <c r="E1" s="55" t="s">
        <v>7</v>
      </c>
      <c r="F1" s="55" t="s">
        <v>8</v>
      </c>
      <c r="G1" s="55" t="s">
        <v>233</v>
      </c>
      <c r="H1" s="55" t="s">
        <v>234</v>
      </c>
      <c r="I1" s="56" t="s">
        <v>235</v>
      </c>
      <c r="J1" s="55" t="s">
        <v>236</v>
      </c>
      <c r="K1" s="55" t="s">
        <v>237</v>
      </c>
      <c r="L1" s="55" t="s">
        <v>237</v>
      </c>
      <c r="M1" s="55" t="s">
        <v>238</v>
      </c>
      <c r="N1" s="55" t="s">
        <v>239</v>
      </c>
      <c r="O1" s="55" t="s">
        <v>239</v>
      </c>
      <c r="P1" s="55" t="s">
        <v>240</v>
      </c>
      <c r="Q1" s="1"/>
      <c r="R1" s="1"/>
      <c r="S1" s="1"/>
      <c r="T1" s="1"/>
      <c r="U1" s="1"/>
      <c r="V1" s="1"/>
      <c r="W1" s="1"/>
      <c r="X1" s="1"/>
      <c r="Y1" s="1"/>
      <c r="Z1" s="1"/>
    </row>
    <row r="2">
      <c r="A2" s="1"/>
      <c r="B2" s="57" t="s">
        <v>10</v>
      </c>
      <c r="C2" s="57"/>
      <c r="D2" s="57"/>
      <c r="E2" s="57"/>
      <c r="F2" s="57"/>
      <c r="G2" s="57"/>
      <c r="H2" s="57"/>
      <c r="I2" s="57"/>
      <c r="J2" s="57"/>
      <c r="K2" s="57"/>
      <c r="L2" s="57"/>
      <c r="M2" s="57"/>
      <c r="N2" s="58"/>
      <c r="O2" s="58"/>
      <c r="P2" s="59"/>
      <c r="Q2" s="1"/>
      <c r="R2" s="1"/>
      <c r="S2" s="1"/>
      <c r="T2" s="1"/>
      <c r="U2" s="1"/>
      <c r="V2" s="1"/>
      <c r="W2" s="1"/>
      <c r="X2" s="1"/>
      <c r="Y2" s="1"/>
      <c r="Z2" s="1"/>
    </row>
    <row r="3">
      <c r="A3" s="10">
        <f>0+1</f>
        <v>1</v>
      </c>
      <c r="B3" s="60" t="str">
        <f>CONCATENATE("0",A3,"-R-MIG-CED-GEN")</f>
        <v>01-R-MIG-CED-GEN</v>
      </c>
      <c r="C3" s="60" t="s">
        <v>241</v>
      </c>
      <c r="D3" s="61">
        <v>10.0</v>
      </c>
      <c r="E3" s="60" t="s">
        <v>42</v>
      </c>
      <c r="F3" s="61"/>
      <c r="G3" s="61">
        <f>D3</f>
        <v>10</v>
      </c>
      <c r="H3" s="62"/>
      <c r="I3" s="62"/>
      <c r="J3" s="62" t="s">
        <v>12</v>
      </c>
      <c r="K3" s="62" t="s">
        <v>12</v>
      </c>
      <c r="L3" s="62" t="s">
        <v>12</v>
      </c>
      <c r="M3" s="63">
        <f>'Offerta Tecnica-Det.Coeff.Qual.'!F13</f>
        <v>1</v>
      </c>
      <c r="N3" s="64">
        <f>'Offerta Tecnica-Det.Coeff.Qual.'!F14</f>
        <v>0</v>
      </c>
      <c r="O3" s="65">
        <f>'Offerta Tecnica-Det.Coeff.Qual.'!F15</f>
        <v>0</v>
      </c>
      <c r="P3" s="66">
        <f>G3*M3</f>
        <v>10</v>
      </c>
      <c r="Q3" s="1"/>
      <c r="R3" s="1" t="s">
        <v>242</v>
      </c>
      <c r="S3" s="1"/>
      <c r="T3" s="1"/>
      <c r="U3" s="1"/>
      <c r="V3" s="1"/>
      <c r="W3" s="1"/>
      <c r="X3" s="1"/>
      <c r="Y3" s="1"/>
      <c r="Z3" s="1"/>
    </row>
    <row r="4">
      <c r="A4" s="1"/>
      <c r="B4" s="57" t="s">
        <v>13</v>
      </c>
      <c r="C4" s="57"/>
      <c r="D4" s="57"/>
      <c r="E4" s="57"/>
      <c r="F4" s="57"/>
      <c r="G4" s="57"/>
      <c r="H4" s="57"/>
      <c r="I4" s="57"/>
      <c r="J4" s="57"/>
      <c r="K4" s="57"/>
      <c r="L4" s="57"/>
      <c r="M4" s="57"/>
      <c r="N4" s="57"/>
      <c r="O4" s="57"/>
      <c r="P4" s="59"/>
      <c r="Q4" s="1"/>
      <c r="R4" s="1" t="s">
        <v>243</v>
      </c>
      <c r="S4" s="1"/>
      <c r="T4" s="1"/>
      <c r="U4" s="1"/>
      <c r="V4" s="1"/>
      <c r="W4" s="1"/>
      <c r="X4" s="1"/>
      <c r="Y4" s="1"/>
      <c r="Z4" s="1"/>
    </row>
    <row r="5">
      <c r="A5" s="10">
        <f>0+1</f>
        <v>1</v>
      </c>
      <c r="B5" s="67" t="str">
        <f t="shared" ref="B5:B9" si="1">CONCATENATE("0",A5,"-R-MIG-SRV-GPU")</f>
        <v>01-R-MIG-SRV-GPU</v>
      </c>
      <c r="C5" s="12" t="s">
        <v>244</v>
      </c>
      <c r="D5" s="68">
        <v>2.0</v>
      </c>
      <c r="E5" s="12" t="s">
        <v>42</v>
      </c>
      <c r="F5" s="12" t="s">
        <v>12</v>
      </c>
      <c r="G5" s="69"/>
      <c r="H5" s="70"/>
      <c r="I5" s="70">
        <f t="shared" ref="I5:I7" si="2">D5</f>
        <v>2</v>
      </c>
      <c r="J5" s="71" t="s">
        <v>242</v>
      </c>
      <c r="K5" s="71"/>
      <c r="L5" s="71"/>
      <c r="M5" s="72">
        <f t="shared" ref="M5:M7" si="3">IF(J5="SI",1,0)</f>
        <v>1</v>
      </c>
      <c r="N5" s="69"/>
      <c r="O5" s="70"/>
      <c r="P5" s="66">
        <f t="shared" ref="P5:P7" si="4">M5*I5</f>
        <v>2</v>
      </c>
      <c r="Q5" s="1"/>
      <c r="R5" s="1"/>
      <c r="S5" s="1"/>
      <c r="T5" s="1"/>
      <c r="U5" s="1"/>
      <c r="V5" s="1"/>
      <c r="W5" s="1"/>
      <c r="X5" s="1"/>
      <c r="Y5" s="1"/>
      <c r="Z5" s="1"/>
    </row>
    <row r="6">
      <c r="A6" s="10">
        <f t="shared" ref="A6:A9" si="5">A5+1</f>
        <v>2</v>
      </c>
      <c r="B6" s="73" t="str">
        <f t="shared" si="1"/>
        <v>02-R-MIG-SRV-GPU</v>
      </c>
      <c r="C6" s="13" t="s">
        <v>245</v>
      </c>
      <c r="D6" s="74">
        <v>2.0</v>
      </c>
      <c r="E6" s="13" t="s">
        <v>42</v>
      </c>
      <c r="F6" s="13"/>
      <c r="G6" s="51"/>
      <c r="H6" s="75"/>
      <c r="I6" s="75">
        <f t="shared" si="2"/>
        <v>2</v>
      </c>
      <c r="J6" s="71" t="s">
        <v>242</v>
      </c>
      <c r="K6" s="76"/>
      <c r="L6" s="76"/>
      <c r="M6" s="72">
        <f t="shared" si="3"/>
        <v>1</v>
      </c>
      <c r="N6" s="51"/>
      <c r="O6" s="75"/>
      <c r="P6" s="66">
        <f t="shared" si="4"/>
        <v>2</v>
      </c>
      <c r="Q6" s="1"/>
      <c r="R6" s="1"/>
      <c r="S6" s="1"/>
      <c r="T6" s="1"/>
      <c r="U6" s="1"/>
      <c r="V6" s="1"/>
      <c r="W6" s="1"/>
      <c r="X6" s="1"/>
      <c r="Y6" s="1"/>
      <c r="Z6" s="1"/>
    </row>
    <row r="7" ht="90.75" customHeight="1">
      <c r="A7" s="10">
        <f t="shared" si="5"/>
        <v>3</v>
      </c>
      <c r="B7" s="73" t="str">
        <f t="shared" si="1"/>
        <v>03-R-MIG-SRV-GPU</v>
      </c>
      <c r="C7" s="13" t="s">
        <v>246</v>
      </c>
      <c r="D7" s="40">
        <v>3.0</v>
      </c>
      <c r="E7" s="13" t="s">
        <v>42</v>
      </c>
      <c r="F7" s="13"/>
      <c r="G7" s="51"/>
      <c r="H7" s="75"/>
      <c r="I7" s="75">
        <f t="shared" si="2"/>
        <v>3</v>
      </c>
      <c r="J7" s="71" t="s">
        <v>242</v>
      </c>
      <c r="K7" s="76"/>
      <c r="L7" s="76"/>
      <c r="M7" s="72">
        <f t="shared" si="3"/>
        <v>1</v>
      </c>
      <c r="N7" s="51"/>
      <c r="O7" s="75"/>
      <c r="P7" s="66">
        <f t="shared" si="4"/>
        <v>3</v>
      </c>
      <c r="Q7" s="1"/>
      <c r="R7" s="1"/>
      <c r="S7" s="1"/>
      <c r="T7" s="1"/>
      <c r="U7" s="1"/>
      <c r="V7" s="1"/>
      <c r="W7" s="1"/>
      <c r="X7" s="1"/>
      <c r="Y7" s="1"/>
      <c r="Z7" s="1"/>
    </row>
    <row r="8" ht="63.75" customHeight="1">
      <c r="A8" s="10">
        <f t="shared" si="5"/>
        <v>4</v>
      </c>
      <c r="B8" s="73" t="str">
        <f t="shared" si="1"/>
        <v>04-R-MIG-SRV-GPU</v>
      </c>
      <c r="C8" s="18" t="s">
        <v>247</v>
      </c>
      <c r="D8" s="40">
        <v>4.0</v>
      </c>
      <c r="E8" s="18" t="s">
        <v>42</v>
      </c>
      <c r="F8" s="18"/>
      <c r="G8" s="51"/>
      <c r="H8" s="77">
        <f>D8</f>
        <v>4</v>
      </c>
      <c r="I8" s="75"/>
      <c r="J8" s="76">
        <v>10.0</v>
      </c>
      <c r="K8" s="76"/>
      <c r="L8" s="76"/>
      <c r="M8" s="78">
        <f>((J8-8)/(4))</f>
        <v>0.5</v>
      </c>
      <c r="N8" s="51"/>
      <c r="O8" s="75"/>
      <c r="P8" s="66">
        <f t="shared" ref="P8:P11" si="6">M8*H8</f>
        <v>2</v>
      </c>
      <c r="Q8" s="1"/>
      <c r="R8" s="1"/>
      <c r="S8" s="1"/>
      <c r="T8" s="1"/>
      <c r="U8" s="1"/>
      <c r="V8" s="1"/>
      <c r="W8" s="1"/>
      <c r="X8" s="1"/>
      <c r="Y8" s="1"/>
      <c r="Z8" s="1"/>
    </row>
    <row r="9" ht="92.25" customHeight="1">
      <c r="A9" s="10">
        <f t="shared" si="5"/>
        <v>5</v>
      </c>
      <c r="B9" s="79" t="str">
        <f t="shared" si="1"/>
        <v>05-R-MIG-SRV-GPU</v>
      </c>
      <c r="C9" s="13" t="s">
        <v>248</v>
      </c>
      <c r="D9" s="80">
        <v>8.0</v>
      </c>
      <c r="E9" s="80" t="s">
        <v>42</v>
      </c>
      <c r="F9" s="80"/>
      <c r="G9" s="81"/>
      <c r="H9" s="66">
        <v>8.0</v>
      </c>
      <c r="I9" s="81"/>
      <c r="J9" s="76">
        <v>20.0</v>
      </c>
      <c r="K9" s="76"/>
      <c r="L9" s="76"/>
      <c r="M9" s="78">
        <f>((J9-16)/(20))</f>
        <v>0.2</v>
      </c>
      <c r="N9" s="81"/>
      <c r="O9" s="82"/>
      <c r="P9" s="66">
        <f t="shared" si="6"/>
        <v>1.6</v>
      </c>
      <c r="Q9" s="1"/>
      <c r="R9" s="1"/>
      <c r="S9" s="1"/>
      <c r="T9" s="1"/>
      <c r="U9" s="1"/>
      <c r="V9" s="1"/>
      <c r="W9" s="1"/>
      <c r="X9" s="1"/>
      <c r="Y9" s="1"/>
      <c r="Z9" s="1"/>
    </row>
    <row r="10">
      <c r="A10" s="25"/>
      <c r="B10" s="29"/>
      <c r="C10" s="13" t="s">
        <v>249</v>
      </c>
      <c r="D10" s="29"/>
      <c r="E10" s="29"/>
      <c r="F10" s="29"/>
      <c r="G10" s="29"/>
      <c r="H10" s="66">
        <v>8.0</v>
      </c>
      <c r="I10" s="29"/>
      <c r="J10" s="76">
        <v>8.0</v>
      </c>
      <c r="K10" s="76"/>
      <c r="L10" s="76"/>
      <c r="M10" s="78">
        <f>((J10-8)/(4))</f>
        <v>0</v>
      </c>
      <c r="N10" s="29"/>
      <c r="O10" s="83"/>
      <c r="P10" s="66">
        <f t="shared" si="6"/>
        <v>0</v>
      </c>
      <c r="Q10" s="1"/>
      <c r="R10" s="1"/>
      <c r="S10" s="1"/>
      <c r="T10" s="1"/>
      <c r="U10" s="1"/>
      <c r="V10" s="1"/>
      <c r="W10" s="1"/>
      <c r="X10" s="1"/>
      <c r="Y10" s="1"/>
      <c r="Z10" s="1"/>
    </row>
    <row r="11">
      <c r="A11" s="10">
        <f>A9+1</f>
        <v>6</v>
      </c>
      <c r="B11" s="73" t="str">
        <f>CONCATENATE("0",A11,"-R-MIG-SRV-GPU")</f>
        <v>06-R-MIG-SRV-GPU</v>
      </c>
      <c r="C11" s="18" t="s">
        <v>250</v>
      </c>
      <c r="D11" s="40">
        <v>4.0</v>
      </c>
      <c r="E11" s="18" t="s">
        <v>42</v>
      </c>
      <c r="F11" s="18"/>
      <c r="G11" s="51"/>
      <c r="H11" s="75">
        <f>D11</f>
        <v>4</v>
      </c>
      <c r="I11" s="75"/>
      <c r="J11" s="76">
        <v>1024.0</v>
      </c>
      <c r="K11" s="76"/>
      <c r="L11" s="76"/>
      <c r="M11" s="78">
        <f>((J11-512)/(512))</f>
        <v>1</v>
      </c>
      <c r="N11" s="51"/>
      <c r="O11" s="75"/>
      <c r="P11" s="66">
        <f t="shared" si="6"/>
        <v>4</v>
      </c>
      <c r="Q11" s="1"/>
      <c r="R11" s="1"/>
      <c r="S11" s="1"/>
      <c r="T11" s="1"/>
      <c r="U11" s="1"/>
      <c r="V11" s="1"/>
      <c r="W11" s="1"/>
      <c r="X11" s="1"/>
      <c r="Y11" s="1"/>
      <c r="Z11" s="1"/>
    </row>
    <row r="12">
      <c r="A12" s="1"/>
      <c r="B12" s="84" t="s">
        <v>33</v>
      </c>
      <c r="C12" s="84"/>
      <c r="D12" s="84"/>
      <c r="E12" s="84"/>
      <c r="F12" s="84"/>
      <c r="G12" s="84"/>
      <c r="H12" s="84"/>
      <c r="I12" s="85"/>
      <c r="J12" s="86"/>
      <c r="K12" s="85"/>
      <c r="L12" s="85"/>
      <c r="M12" s="86"/>
      <c r="N12" s="86"/>
      <c r="O12" s="85"/>
      <c r="P12" s="59"/>
      <c r="Q12" s="1"/>
      <c r="R12" s="1"/>
      <c r="S12" s="1"/>
      <c r="T12" s="1"/>
      <c r="U12" s="1"/>
      <c r="V12" s="1"/>
      <c r="W12" s="1"/>
      <c r="X12" s="1"/>
      <c r="Y12" s="1"/>
      <c r="Z12" s="1"/>
    </row>
    <row r="13">
      <c r="A13" s="1"/>
      <c r="B13" s="87" t="s">
        <v>34</v>
      </c>
      <c r="C13" s="88"/>
      <c r="D13" s="88"/>
      <c r="E13" s="88"/>
      <c r="F13" s="88"/>
      <c r="G13" s="88"/>
      <c r="H13" s="88"/>
      <c r="I13" s="89"/>
      <c r="J13" s="89"/>
      <c r="K13" s="89"/>
      <c r="L13" s="89"/>
      <c r="M13" s="90"/>
      <c r="N13" s="90"/>
      <c r="O13" s="89"/>
      <c r="P13" s="91"/>
      <c r="Q13" s="1"/>
      <c r="R13" s="1"/>
      <c r="S13" s="1"/>
      <c r="T13" s="1"/>
      <c r="U13" s="1"/>
      <c r="V13" s="1"/>
      <c r="W13" s="1"/>
      <c r="X13" s="1"/>
      <c r="Y13" s="1"/>
      <c r="Z13" s="1"/>
    </row>
    <row r="14">
      <c r="A14" s="10">
        <f>0+1</f>
        <v>1</v>
      </c>
      <c r="B14" s="13" t="str">
        <f>CONCATENATE("0",A14,"-R-MIG-NET-DAT")</f>
        <v>01-R-MIG-NET-DAT</v>
      </c>
      <c r="C14" s="18" t="s">
        <v>251</v>
      </c>
      <c r="D14" s="74">
        <v>2.0</v>
      </c>
      <c r="E14" s="18" t="s">
        <v>42</v>
      </c>
      <c r="F14" s="13" t="s">
        <v>12</v>
      </c>
      <c r="G14" s="51"/>
      <c r="H14" s="75"/>
      <c r="I14" s="75">
        <f>D14</f>
        <v>2</v>
      </c>
      <c r="J14" s="71" t="s">
        <v>242</v>
      </c>
      <c r="K14" s="76"/>
      <c r="L14" s="76"/>
      <c r="M14" s="72">
        <f>IF(J14="SI",1,0)</f>
        <v>1</v>
      </c>
      <c r="N14" s="51"/>
      <c r="O14" s="75"/>
      <c r="P14" s="66">
        <f>M14*I14</f>
        <v>2</v>
      </c>
      <c r="Q14" s="1"/>
      <c r="R14" s="1"/>
      <c r="S14" s="1"/>
      <c r="T14" s="1"/>
      <c r="U14" s="1"/>
      <c r="V14" s="1"/>
      <c r="W14" s="1"/>
      <c r="X14" s="1"/>
      <c r="Y14" s="1"/>
      <c r="Z14" s="1"/>
    </row>
    <row r="15">
      <c r="A15" s="1"/>
      <c r="B15" s="87" t="s">
        <v>252</v>
      </c>
      <c r="C15" s="88"/>
      <c r="D15" s="88"/>
      <c r="E15" s="88"/>
      <c r="F15" s="88"/>
      <c r="G15" s="88"/>
      <c r="H15" s="88"/>
      <c r="I15" s="89"/>
      <c r="J15" s="89"/>
      <c r="K15" s="89"/>
      <c r="L15" s="89"/>
      <c r="M15" s="90"/>
      <c r="N15" s="90"/>
      <c r="O15" s="89"/>
      <c r="P15" s="92"/>
      <c r="Q15" s="1"/>
      <c r="R15" s="1"/>
      <c r="S15" s="1"/>
      <c r="T15" s="1"/>
      <c r="U15" s="1"/>
      <c r="V15" s="1"/>
      <c r="W15" s="1"/>
      <c r="X15" s="1"/>
      <c r="Y15" s="1"/>
      <c r="Z15" s="1"/>
    </row>
    <row r="16">
      <c r="A16" s="10">
        <f>0+1</f>
        <v>1</v>
      </c>
      <c r="B16" s="73" t="str">
        <f t="shared" ref="B16:B17" si="7">CONCATENATE("0",A16,"-R-MIG-NET-SWM")</f>
        <v>01-R-MIG-NET-SWM</v>
      </c>
      <c r="C16" s="18" t="s">
        <v>253</v>
      </c>
      <c r="D16" s="74">
        <v>2.0</v>
      </c>
      <c r="E16" s="18" t="s">
        <v>42</v>
      </c>
      <c r="F16" s="13" t="s">
        <v>12</v>
      </c>
      <c r="G16" s="51"/>
      <c r="H16" s="75"/>
      <c r="I16" s="75">
        <f t="shared" ref="I16:I17" si="8">D16</f>
        <v>2</v>
      </c>
      <c r="J16" s="71" t="s">
        <v>242</v>
      </c>
      <c r="K16" s="76"/>
      <c r="L16" s="76"/>
      <c r="M16" s="72">
        <f t="shared" ref="M16:M17" si="9">IF(J16="SI",1,0)</f>
        <v>1</v>
      </c>
      <c r="N16" s="51"/>
      <c r="O16" s="75"/>
      <c r="P16" s="66">
        <f t="shared" ref="P16:P17" si="10">M16*I16</f>
        <v>2</v>
      </c>
      <c r="Q16" s="1"/>
      <c r="R16" s="1"/>
      <c r="S16" s="1"/>
      <c r="T16" s="1"/>
      <c r="U16" s="1"/>
      <c r="V16" s="1"/>
      <c r="W16" s="1"/>
      <c r="X16" s="1"/>
      <c r="Y16" s="1"/>
      <c r="Z16" s="1"/>
    </row>
    <row r="17" ht="39.0" customHeight="1">
      <c r="A17" s="10">
        <f>A16+1</f>
        <v>2</v>
      </c>
      <c r="B17" s="73" t="str">
        <f t="shared" si="7"/>
        <v>02-R-MIG-NET-SWM</v>
      </c>
      <c r="C17" s="18" t="s">
        <v>254</v>
      </c>
      <c r="D17" s="74">
        <v>1.0</v>
      </c>
      <c r="E17" s="18" t="s">
        <v>42</v>
      </c>
      <c r="F17" s="13" t="s">
        <v>12</v>
      </c>
      <c r="G17" s="51"/>
      <c r="H17" s="51"/>
      <c r="I17" s="75">
        <f t="shared" si="8"/>
        <v>1</v>
      </c>
      <c r="J17" s="71" t="s">
        <v>242</v>
      </c>
      <c r="K17" s="76"/>
      <c r="L17" s="76"/>
      <c r="M17" s="72">
        <f t="shared" si="9"/>
        <v>1</v>
      </c>
      <c r="N17" s="51"/>
      <c r="O17" s="75"/>
      <c r="P17" s="66">
        <f t="shared" si="10"/>
        <v>1</v>
      </c>
      <c r="Q17" s="1"/>
      <c r="R17" s="1"/>
      <c r="S17" s="1"/>
      <c r="T17" s="1"/>
      <c r="U17" s="1"/>
      <c r="V17" s="1"/>
      <c r="W17" s="1"/>
      <c r="X17" s="1"/>
      <c r="Y17" s="1"/>
      <c r="Z17" s="1"/>
    </row>
    <row r="18">
      <c r="A18" s="1"/>
      <c r="B18" s="84" t="s">
        <v>63</v>
      </c>
      <c r="C18" s="84"/>
      <c r="D18" s="84"/>
      <c r="E18" s="84"/>
      <c r="F18" s="84"/>
      <c r="G18" s="84"/>
      <c r="H18" s="84"/>
      <c r="I18" s="84"/>
      <c r="J18" s="84"/>
      <c r="K18" s="84"/>
      <c r="L18" s="84"/>
      <c r="M18" s="86"/>
      <c r="N18" s="93"/>
      <c r="O18" s="94"/>
      <c r="P18" s="95"/>
      <c r="Q18" s="1"/>
      <c r="R18" s="1"/>
      <c r="S18" s="1"/>
      <c r="T18" s="1"/>
      <c r="U18" s="1"/>
      <c r="V18" s="1"/>
      <c r="W18" s="1"/>
      <c r="X18" s="1"/>
      <c r="Y18" s="1"/>
      <c r="Z18" s="1"/>
    </row>
    <row r="19">
      <c r="A19" s="1"/>
      <c r="B19" s="96" t="s">
        <v>67</v>
      </c>
      <c r="C19" s="87"/>
      <c r="D19" s="87"/>
      <c r="E19" s="87"/>
      <c r="F19" s="87"/>
      <c r="G19" s="87"/>
      <c r="H19" s="87"/>
      <c r="I19" s="97"/>
      <c r="J19" s="97"/>
      <c r="K19" s="97"/>
      <c r="L19" s="97"/>
      <c r="M19" s="87"/>
      <c r="N19" s="87"/>
      <c r="O19" s="97"/>
      <c r="P19" s="92"/>
      <c r="Q19" s="1"/>
      <c r="R19" s="1"/>
      <c r="S19" s="1"/>
      <c r="T19" s="1"/>
      <c r="U19" s="1"/>
      <c r="V19" s="1"/>
      <c r="W19" s="1"/>
      <c r="X19" s="1"/>
      <c r="Y19" s="1"/>
      <c r="Z19" s="1"/>
    </row>
    <row r="20">
      <c r="A20" s="10">
        <f>0+1</f>
        <v>1</v>
      </c>
      <c r="B20" s="13" t="str">
        <f t="shared" ref="B20:B21" si="11">CONCATENATE("0",A20,"-R-MIG-SAN-CPY")</f>
        <v>01-R-MIG-SAN-CPY</v>
      </c>
      <c r="C20" s="18" t="s">
        <v>255</v>
      </c>
      <c r="D20" s="74">
        <v>4.0</v>
      </c>
      <c r="E20" s="18" t="s">
        <v>42</v>
      </c>
      <c r="F20" s="18"/>
      <c r="G20" s="51"/>
      <c r="H20" s="51">
        <f>D20</f>
        <v>4</v>
      </c>
      <c r="I20" s="75"/>
      <c r="J20" s="76">
        <v>100.0</v>
      </c>
      <c r="K20" s="76"/>
      <c r="L20" s="76"/>
      <c r="M20" s="78">
        <f>((J20-65)/(35))</f>
        <v>1</v>
      </c>
      <c r="N20" s="51"/>
      <c r="O20" s="75"/>
      <c r="P20" s="66">
        <f>M20*H20</f>
        <v>4</v>
      </c>
      <c r="Q20" s="1"/>
      <c r="R20" s="1"/>
      <c r="S20" s="1"/>
      <c r="T20" s="1"/>
      <c r="U20" s="1"/>
      <c r="V20" s="1"/>
      <c r="W20" s="1"/>
      <c r="X20" s="1"/>
      <c r="Y20" s="1"/>
      <c r="Z20" s="1"/>
    </row>
    <row r="21" ht="15.75" customHeight="1">
      <c r="A21" s="10">
        <f>A20+1</f>
        <v>2</v>
      </c>
      <c r="B21" s="13" t="str">
        <f t="shared" si="11"/>
        <v>02-R-MIG-SAN-CPY</v>
      </c>
      <c r="C21" s="18" t="s">
        <v>256</v>
      </c>
      <c r="D21" s="74">
        <v>1.0</v>
      </c>
      <c r="E21" s="18" t="s">
        <v>42</v>
      </c>
      <c r="F21" s="18"/>
      <c r="G21" s="51"/>
      <c r="H21" s="51"/>
      <c r="I21" s="75">
        <v>1.0</v>
      </c>
      <c r="J21" s="71" t="s">
        <v>242</v>
      </c>
      <c r="K21" s="76"/>
      <c r="L21" s="76"/>
      <c r="M21" s="72">
        <f>IF(J21="SI",1,0)</f>
        <v>1</v>
      </c>
      <c r="N21" s="51"/>
      <c r="O21" s="75"/>
      <c r="P21" s="66">
        <f>M21*I21</f>
        <v>1</v>
      </c>
      <c r="Q21" s="1"/>
      <c r="R21" s="1"/>
      <c r="S21" s="1"/>
      <c r="T21" s="1"/>
      <c r="U21" s="1"/>
      <c r="V21" s="1"/>
      <c r="W21" s="1"/>
      <c r="X21" s="1"/>
      <c r="Y21" s="1"/>
      <c r="Z21" s="1"/>
    </row>
    <row r="22" ht="15.75" customHeight="1">
      <c r="A22" s="10"/>
      <c r="B22" s="96" t="s">
        <v>14</v>
      </c>
      <c r="C22" s="87"/>
      <c r="D22" s="87"/>
      <c r="E22" s="87"/>
      <c r="F22" s="87"/>
      <c r="G22" s="87"/>
      <c r="H22" s="87"/>
      <c r="I22" s="97"/>
      <c r="J22" s="97"/>
      <c r="K22" s="97"/>
      <c r="L22" s="97"/>
      <c r="M22" s="87"/>
      <c r="N22" s="87"/>
      <c r="O22" s="97"/>
      <c r="P22" s="92"/>
      <c r="Q22" s="1"/>
      <c r="R22" s="1"/>
      <c r="S22" s="1"/>
      <c r="T22" s="1"/>
      <c r="U22" s="1"/>
      <c r="V22" s="1"/>
      <c r="W22" s="1"/>
      <c r="X22" s="1"/>
      <c r="Y22" s="1"/>
      <c r="Z22" s="1"/>
    </row>
    <row r="23" ht="15.75" customHeight="1">
      <c r="A23" s="10">
        <f>0+1</f>
        <v>1</v>
      </c>
      <c r="B23" s="13" t="str">
        <f>CONCATENATE("0",A23,"-R-MIG-SAN-ARC")</f>
        <v>01-R-MIG-SAN-ARC</v>
      </c>
      <c r="C23" s="18" t="s">
        <v>257</v>
      </c>
      <c r="D23" s="74">
        <v>2.0</v>
      </c>
      <c r="E23" s="18" t="s">
        <v>42</v>
      </c>
      <c r="F23" s="18"/>
      <c r="G23" s="51"/>
      <c r="H23" s="51"/>
      <c r="I23" s="75">
        <f>D23</f>
        <v>2</v>
      </c>
      <c r="J23" s="71" t="s">
        <v>242</v>
      </c>
      <c r="K23" s="76"/>
      <c r="L23" s="76"/>
      <c r="M23" s="72">
        <f>IF(J23="SI",1,0)</f>
        <v>1</v>
      </c>
      <c r="N23" s="51"/>
      <c r="O23" s="75"/>
      <c r="P23" s="66">
        <f>M23*I23</f>
        <v>2</v>
      </c>
      <c r="Q23" s="1"/>
      <c r="R23" s="1"/>
      <c r="S23" s="1"/>
      <c r="T23" s="1"/>
      <c r="U23" s="1"/>
      <c r="V23" s="1"/>
      <c r="W23" s="1"/>
      <c r="X23" s="1"/>
      <c r="Y23" s="1"/>
      <c r="Z23" s="1"/>
    </row>
    <row r="24" ht="15.75" customHeight="1">
      <c r="A24" s="5"/>
      <c r="B24" s="84" t="s">
        <v>128</v>
      </c>
      <c r="C24" s="84"/>
      <c r="D24" s="84"/>
      <c r="E24" s="84"/>
      <c r="F24" s="84"/>
      <c r="G24" s="84"/>
      <c r="H24" s="84"/>
      <c r="I24" s="84"/>
      <c r="J24" s="84"/>
      <c r="K24" s="84"/>
      <c r="L24" s="84"/>
      <c r="M24" s="86"/>
      <c r="N24" s="93"/>
      <c r="O24" s="94"/>
      <c r="P24" s="95"/>
      <c r="Q24" s="1"/>
      <c r="R24" s="1"/>
      <c r="S24" s="1"/>
      <c r="T24" s="1"/>
      <c r="U24" s="1"/>
      <c r="V24" s="1"/>
      <c r="W24" s="1"/>
      <c r="X24" s="1"/>
      <c r="Y24" s="1"/>
      <c r="Z24" s="1"/>
    </row>
    <row r="25" ht="15.75" customHeight="1">
      <c r="A25" s="5"/>
      <c r="B25" s="96" t="s">
        <v>64</v>
      </c>
      <c r="C25" s="87"/>
      <c r="D25" s="87"/>
      <c r="E25" s="87"/>
      <c r="F25" s="87"/>
      <c r="G25" s="87"/>
      <c r="H25" s="87"/>
      <c r="I25" s="97"/>
      <c r="J25" s="97"/>
      <c r="K25" s="97"/>
      <c r="L25" s="97"/>
      <c r="M25" s="87"/>
      <c r="N25" s="87"/>
      <c r="O25" s="97"/>
      <c r="P25" s="92"/>
      <c r="Q25" s="1"/>
      <c r="R25" s="1"/>
      <c r="S25" s="1"/>
      <c r="T25" s="1"/>
      <c r="U25" s="1"/>
      <c r="V25" s="1"/>
      <c r="W25" s="1"/>
      <c r="X25" s="1"/>
      <c r="Y25" s="1"/>
      <c r="Z25" s="1"/>
    </row>
    <row r="26" ht="21.75" customHeight="1">
      <c r="A26" s="10">
        <f>0+1</f>
        <v>1</v>
      </c>
      <c r="B26" s="79" t="str">
        <f>CONCATENATE("0",A26,"-R-MIG-NAS-GEN")</f>
        <v>01-R-MIG-NAS-GEN</v>
      </c>
      <c r="C26" s="24" t="s">
        <v>258</v>
      </c>
      <c r="D26" s="23">
        <v>2.0</v>
      </c>
      <c r="E26" s="18" t="s">
        <v>42</v>
      </c>
      <c r="F26" s="18" t="s">
        <v>259</v>
      </c>
      <c r="G26" s="51"/>
      <c r="H26" s="51"/>
      <c r="I26" s="75">
        <f>D26/2</f>
        <v>1</v>
      </c>
      <c r="J26" s="71" t="s">
        <v>242</v>
      </c>
      <c r="K26" s="76"/>
      <c r="L26" s="76"/>
      <c r="M26" s="72">
        <f t="shared" ref="M26:M28" si="12">IF(J26="SI",1,0)</f>
        <v>1</v>
      </c>
      <c r="N26" s="51"/>
      <c r="O26" s="75"/>
      <c r="P26" s="66">
        <f t="shared" ref="P26:P28" si="13">M26*I26</f>
        <v>1</v>
      </c>
      <c r="Q26" s="1"/>
      <c r="R26" s="1"/>
      <c r="S26" s="1"/>
      <c r="T26" s="1"/>
      <c r="U26" s="1"/>
      <c r="V26" s="1"/>
      <c r="W26" s="1"/>
      <c r="X26" s="1"/>
      <c r="Y26" s="1"/>
      <c r="Z26" s="1"/>
    </row>
    <row r="27" ht="24.0" customHeight="1">
      <c r="A27" s="1"/>
      <c r="B27" s="29"/>
      <c r="C27" s="29"/>
      <c r="D27" s="29"/>
      <c r="E27" s="18" t="s">
        <v>44</v>
      </c>
      <c r="F27" s="18" t="s">
        <v>260</v>
      </c>
      <c r="G27" s="51"/>
      <c r="H27" s="51"/>
      <c r="I27" s="75">
        <f>D26/2</f>
        <v>1</v>
      </c>
      <c r="J27" s="71" t="s">
        <v>242</v>
      </c>
      <c r="K27" s="76"/>
      <c r="L27" s="76"/>
      <c r="M27" s="72">
        <f t="shared" si="12"/>
        <v>1</v>
      </c>
      <c r="N27" s="51"/>
      <c r="O27" s="75"/>
      <c r="P27" s="66">
        <f t="shared" si="13"/>
        <v>1</v>
      </c>
      <c r="Q27" s="1"/>
      <c r="R27" s="1"/>
      <c r="S27" s="1"/>
      <c r="T27" s="1"/>
      <c r="U27" s="1"/>
      <c r="V27" s="1"/>
      <c r="W27" s="1"/>
      <c r="X27" s="1"/>
      <c r="Y27" s="1"/>
      <c r="Z27" s="1"/>
    </row>
    <row r="28" ht="84.0" customHeight="1">
      <c r="A28" s="10">
        <f>A26+1</f>
        <v>2</v>
      </c>
      <c r="B28" s="13" t="str">
        <f>CONCATENATE("0",A28,"-R-MIG-NAS-GEN")</f>
        <v>02-R-MIG-NAS-GEN</v>
      </c>
      <c r="C28" s="30" t="s">
        <v>261</v>
      </c>
      <c r="D28" s="74">
        <v>2.0</v>
      </c>
      <c r="E28" s="18" t="s">
        <v>42</v>
      </c>
      <c r="F28" s="18"/>
      <c r="G28" s="51"/>
      <c r="H28" s="51"/>
      <c r="I28" s="75">
        <f>D28</f>
        <v>2</v>
      </c>
      <c r="J28" s="71" t="s">
        <v>242</v>
      </c>
      <c r="K28" s="76"/>
      <c r="L28" s="76"/>
      <c r="M28" s="72">
        <f t="shared" si="12"/>
        <v>1</v>
      </c>
      <c r="N28" s="51"/>
      <c r="O28" s="75"/>
      <c r="P28" s="66">
        <f t="shared" si="13"/>
        <v>2</v>
      </c>
      <c r="Q28" s="1"/>
      <c r="R28" s="1"/>
      <c r="S28" s="1"/>
      <c r="T28" s="1"/>
      <c r="U28" s="1"/>
      <c r="V28" s="1"/>
      <c r="W28" s="1"/>
      <c r="X28" s="1"/>
      <c r="Y28" s="1"/>
      <c r="Z28" s="1"/>
    </row>
    <row r="29" ht="15.75" customHeight="1">
      <c r="A29" s="5"/>
      <c r="B29" s="96" t="s">
        <v>99</v>
      </c>
      <c r="C29" s="87"/>
      <c r="D29" s="87"/>
      <c r="E29" s="87"/>
      <c r="F29" s="87"/>
      <c r="G29" s="87"/>
      <c r="H29" s="87"/>
      <c r="I29" s="97"/>
      <c r="J29" s="97"/>
      <c r="K29" s="97"/>
      <c r="L29" s="97"/>
      <c r="M29" s="87"/>
      <c r="N29" s="87"/>
      <c r="O29" s="97"/>
      <c r="P29" s="92"/>
      <c r="Q29" s="1"/>
      <c r="R29" s="1"/>
      <c r="S29" s="1"/>
      <c r="T29" s="1"/>
      <c r="U29" s="1"/>
      <c r="V29" s="1"/>
      <c r="W29" s="1"/>
      <c r="X29" s="1"/>
      <c r="Y29" s="1"/>
      <c r="Z29" s="1"/>
    </row>
    <row r="30" ht="15.75" customHeight="1">
      <c r="A30" s="10">
        <f>0+1</f>
        <v>1</v>
      </c>
      <c r="B30" s="13" t="str">
        <f>CONCATENATE("0",A30,"-R-MIG-NAS-EFY")</f>
        <v>01-R-MIG-NAS-EFY</v>
      </c>
      <c r="C30" s="18" t="s">
        <v>262</v>
      </c>
      <c r="D30" s="74">
        <v>2.0</v>
      </c>
      <c r="E30" s="18" t="s">
        <v>42</v>
      </c>
      <c r="F30" s="18"/>
      <c r="G30" s="51"/>
      <c r="H30" s="51"/>
      <c r="I30" s="75">
        <f>D30</f>
        <v>2</v>
      </c>
      <c r="J30" s="71" t="s">
        <v>242</v>
      </c>
      <c r="K30" s="76"/>
      <c r="L30" s="76"/>
      <c r="M30" s="72">
        <f>IF(J30="SI",1,0)</f>
        <v>1</v>
      </c>
      <c r="N30" s="51"/>
      <c r="O30" s="75"/>
      <c r="P30" s="66">
        <f>M30*I30</f>
        <v>2</v>
      </c>
      <c r="Q30" s="1"/>
      <c r="R30" s="1"/>
      <c r="S30" s="1"/>
      <c r="T30" s="1"/>
      <c r="U30" s="1"/>
      <c r="V30" s="1"/>
      <c r="W30" s="1"/>
      <c r="X30" s="1"/>
      <c r="Y30" s="1"/>
      <c r="Z30" s="1"/>
    </row>
    <row r="31" ht="15.75" customHeight="1">
      <c r="A31" s="5"/>
      <c r="B31" s="96" t="s">
        <v>124</v>
      </c>
      <c r="C31" s="87"/>
      <c r="D31" s="87"/>
      <c r="E31" s="87"/>
      <c r="F31" s="87"/>
      <c r="G31" s="87"/>
      <c r="H31" s="87"/>
      <c r="I31" s="97"/>
      <c r="J31" s="97"/>
      <c r="K31" s="97"/>
      <c r="L31" s="97"/>
      <c r="M31" s="87"/>
      <c r="N31" s="87"/>
      <c r="O31" s="97"/>
      <c r="P31" s="92"/>
      <c r="Q31" s="1"/>
      <c r="R31" s="1"/>
      <c r="S31" s="1"/>
      <c r="T31" s="1"/>
      <c r="U31" s="1"/>
      <c r="V31" s="1"/>
      <c r="W31" s="1"/>
      <c r="X31" s="1"/>
      <c r="Y31" s="1"/>
      <c r="Z31" s="1"/>
    </row>
    <row r="32" ht="15.75" customHeight="1">
      <c r="A32" s="10">
        <f>0+1</f>
        <v>1</v>
      </c>
      <c r="B32" s="13" t="str">
        <f>CONCATENATE("0",A32,"-R-MIG-NAS-SEC")</f>
        <v>01-R-MIG-NAS-SEC</v>
      </c>
      <c r="C32" s="18" t="s">
        <v>263</v>
      </c>
      <c r="D32" s="74">
        <v>1.0</v>
      </c>
      <c r="E32" s="18" t="s">
        <v>42</v>
      </c>
      <c r="F32" s="18"/>
      <c r="G32" s="51"/>
      <c r="H32" s="51"/>
      <c r="I32" s="75">
        <f>D32</f>
        <v>1</v>
      </c>
      <c r="J32" s="71" t="s">
        <v>242</v>
      </c>
      <c r="K32" s="76"/>
      <c r="L32" s="76"/>
      <c r="M32" s="72">
        <f>IF(J32="SI",1,0)</f>
        <v>1</v>
      </c>
      <c r="N32" s="51"/>
      <c r="O32" s="75"/>
      <c r="P32" s="66">
        <f>M32*I32</f>
        <v>1</v>
      </c>
      <c r="Q32" s="1"/>
      <c r="R32" s="1"/>
      <c r="S32" s="1"/>
      <c r="T32" s="1"/>
      <c r="U32" s="1"/>
      <c r="V32" s="1"/>
      <c r="W32" s="1"/>
      <c r="X32" s="1"/>
      <c r="Y32" s="1"/>
      <c r="Z32" s="1"/>
    </row>
    <row r="33" ht="15.75" customHeight="1">
      <c r="A33" s="5"/>
      <c r="B33" s="96" t="s">
        <v>165</v>
      </c>
      <c r="C33" s="87"/>
      <c r="D33" s="87"/>
      <c r="E33" s="87"/>
      <c r="F33" s="87"/>
      <c r="G33" s="87"/>
      <c r="H33" s="87"/>
      <c r="I33" s="97"/>
      <c r="J33" s="97"/>
      <c r="K33" s="97"/>
      <c r="L33" s="97"/>
      <c r="M33" s="87"/>
      <c r="N33" s="87"/>
      <c r="O33" s="97"/>
      <c r="P33" s="92"/>
      <c r="Q33" s="1"/>
      <c r="R33" s="1"/>
      <c r="S33" s="1"/>
      <c r="T33" s="1"/>
      <c r="U33" s="1"/>
      <c r="V33" s="1"/>
      <c r="W33" s="1"/>
      <c r="X33" s="1"/>
      <c r="Y33" s="1"/>
      <c r="Z33" s="1"/>
    </row>
    <row r="34" ht="15.75" customHeight="1">
      <c r="A34" s="10">
        <f>0+1</f>
        <v>1</v>
      </c>
      <c r="B34" s="13" t="str">
        <f t="shared" ref="B34:B38" si="14">CONCATENATE("0",A34,"-R-MIG-NAS-ARC")</f>
        <v>01-R-MIG-NAS-ARC</v>
      </c>
      <c r="C34" s="18" t="s">
        <v>264</v>
      </c>
      <c r="D34" s="74">
        <v>2.0</v>
      </c>
      <c r="E34" s="18" t="s">
        <v>42</v>
      </c>
      <c r="F34" s="18"/>
      <c r="G34" s="51"/>
      <c r="H34" s="51"/>
      <c r="I34" s="75">
        <f t="shared" ref="I34:I35" si="15">D34</f>
        <v>2</v>
      </c>
      <c r="J34" s="71" t="s">
        <v>242</v>
      </c>
      <c r="K34" s="76"/>
      <c r="L34" s="76"/>
      <c r="M34" s="72">
        <f t="shared" ref="M34:M35" si="16">IF(J34="SI",1,0)</f>
        <v>1</v>
      </c>
      <c r="N34" s="51"/>
      <c r="O34" s="75"/>
      <c r="P34" s="66">
        <f t="shared" ref="P34:P35" si="17">M34*I34</f>
        <v>2</v>
      </c>
      <c r="Q34" s="1"/>
      <c r="R34" s="1"/>
      <c r="S34" s="1"/>
      <c r="T34" s="1"/>
      <c r="U34" s="1"/>
      <c r="V34" s="1"/>
      <c r="W34" s="1"/>
      <c r="X34" s="1"/>
      <c r="Y34" s="1"/>
      <c r="Z34" s="1"/>
    </row>
    <row r="35" ht="15.75" customHeight="1">
      <c r="A35" s="10">
        <f t="shared" ref="A35:A38" si="18">A34+1</f>
        <v>2</v>
      </c>
      <c r="B35" s="13" t="str">
        <f t="shared" si="14"/>
        <v>02-R-MIG-NAS-ARC</v>
      </c>
      <c r="C35" s="18" t="s">
        <v>265</v>
      </c>
      <c r="D35" s="74">
        <v>2.0</v>
      </c>
      <c r="E35" s="18" t="s">
        <v>42</v>
      </c>
      <c r="F35" s="18"/>
      <c r="G35" s="51"/>
      <c r="H35" s="51"/>
      <c r="I35" s="75">
        <f t="shared" si="15"/>
        <v>2</v>
      </c>
      <c r="J35" s="71" t="s">
        <v>242</v>
      </c>
      <c r="K35" s="76"/>
      <c r="L35" s="76"/>
      <c r="M35" s="72">
        <f t="shared" si="16"/>
        <v>1</v>
      </c>
      <c r="N35" s="51"/>
      <c r="O35" s="75"/>
      <c r="P35" s="66">
        <f t="shared" si="17"/>
        <v>2</v>
      </c>
      <c r="Q35" s="1"/>
      <c r="R35" s="1"/>
      <c r="S35" s="1"/>
      <c r="T35" s="1"/>
      <c r="U35" s="1"/>
      <c r="V35" s="1"/>
      <c r="W35" s="1"/>
      <c r="X35" s="1"/>
      <c r="Y35" s="1"/>
      <c r="Z35" s="1"/>
    </row>
    <row r="36" ht="15.75" customHeight="1">
      <c r="A36" s="10">
        <f t="shared" si="18"/>
        <v>3</v>
      </c>
      <c r="B36" s="13" t="str">
        <f t="shared" si="14"/>
        <v>03-R-MIG-NAS-ARC</v>
      </c>
      <c r="C36" s="18" t="s">
        <v>266</v>
      </c>
      <c r="D36" s="74">
        <v>4.0</v>
      </c>
      <c r="E36" s="18" t="s">
        <v>42</v>
      </c>
      <c r="F36" s="18"/>
      <c r="G36" s="51"/>
      <c r="H36" s="51">
        <f>D36</f>
        <v>4</v>
      </c>
      <c r="I36" s="75"/>
      <c r="J36" s="76">
        <v>480.0</v>
      </c>
      <c r="K36" s="76"/>
      <c r="L36" s="76"/>
      <c r="M36" s="78">
        <f>((J36-180)/(320))</f>
        <v>0.9375</v>
      </c>
      <c r="N36" s="51"/>
      <c r="O36" s="75"/>
      <c r="P36" s="66">
        <f>M36*H36</f>
        <v>3.75</v>
      </c>
      <c r="Q36" s="1"/>
      <c r="R36" s="1"/>
      <c r="S36" s="1"/>
      <c r="T36" s="1"/>
      <c r="U36" s="1"/>
      <c r="V36" s="1"/>
      <c r="W36" s="1"/>
      <c r="X36" s="1"/>
      <c r="Y36" s="1"/>
      <c r="Z36" s="1"/>
    </row>
    <row r="37" ht="54.75" customHeight="1">
      <c r="A37" s="10">
        <f t="shared" si="18"/>
        <v>4</v>
      </c>
      <c r="B37" s="13" t="str">
        <f t="shared" si="14"/>
        <v>04-R-MIG-NAS-ARC</v>
      </c>
      <c r="C37" s="18" t="s">
        <v>267</v>
      </c>
      <c r="D37" s="74">
        <v>2.0</v>
      </c>
      <c r="E37" s="18" t="s">
        <v>42</v>
      </c>
      <c r="F37" s="14"/>
      <c r="G37" s="98"/>
      <c r="H37" s="51"/>
      <c r="I37" s="75">
        <v>2.0</v>
      </c>
      <c r="J37" s="71" t="s">
        <v>242</v>
      </c>
      <c r="K37" s="76"/>
      <c r="L37" s="76"/>
      <c r="M37" s="72">
        <f t="shared" ref="M37:M38" si="19">IF(J37="SI",1,0)</f>
        <v>1</v>
      </c>
      <c r="N37" s="51"/>
      <c r="O37" s="75"/>
      <c r="P37" s="66">
        <f t="shared" ref="P37:P38" si="20">M37*I37</f>
        <v>2</v>
      </c>
      <c r="Q37" s="1"/>
      <c r="R37" s="1"/>
      <c r="S37" s="1"/>
      <c r="T37" s="1"/>
      <c r="U37" s="1"/>
      <c r="V37" s="1"/>
      <c r="W37" s="1"/>
      <c r="X37" s="1"/>
      <c r="Y37" s="1"/>
      <c r="Z37" s="1"/>
    </row>
    <row r="38" ht="54.75" customHeight="1">
      <c r="A38" s="10">
        <f t="shared" si="18"/>
        <v>5</v>
      </c>
      <c r="B38" s="13" t="str">
        <f t="shared" si="14"/>
        <v>05-R-MIG-NAS-ARC</v>
      </c>
      <c r="C38" s="18" t="s">
        <v>268</v>
      </c>
      <c r="D38" s="74">
        <v>2.0</v>
      </c>
      <c r="E38" s="18" t="s">
        <v>42</v>
      </c>
      <c r="F38" s="14"/>
      <c r="G38" s="98"/>
      <c r="H38" s="51"/>
      <c r="I38" s="75">
        <v>2.0</v>
      </c>
      <c r="J38" s="71" t="s">
        <v>242</v>
      </c>
      <c r="K38" s="76"/>
      <c r="L38" s="76"/>
      <c r="M38" s="72">
        <f t="shared" si="19"/>
        <v>1</v>
      </c>
      <c r="N38" s="51"/>
      <c r="O38" s="75"/>
      <c r="P38" s="66">
        <f t="shared" si="20"/>
        <v>2</v>
      </c>
      <c r="Q38" s="1"/>
      <c r="R38" s="1"/>
      <c r="S38" s="1"/>
      <c r="T38" s="1"/>
      <c r="U38" s="1"/>
      <c r="V38" s="1"/>
      <c r="W38" s="1"/>
      <c r="X38" s="1"/>
      <c r="Y38" s="1"/>
      <c r="Z38" s="1"/>
    </row>
    <row r="39" ht="15.75" customHeight="1">
      <c r="A39" s="1"/>
      <c r="B39" s="84" t="s">
        <v>178</v>
      </c>
      <c r="C39" s="84"/>
      <c r="D39" s="84"/>
      <c r="E39" s="84"/>
      <c r="F39" s="84"/>
      <c r="G39" s="84"/>
      <c r="H39" s="84"/>
      <c r="I39" s="84"/>
      <c r="J39" s="84"/>
      <c r="K39" s="84"/>
      <c r="L39" s="84"/>
      <c r="M39" s="86"/>
      <c r="N39" s="86"/>
      <c r="O39" s="85"/>
      <c r="P39" s="99"/>
      <c r="Q39" s="1"/>
      <c r="R39" s="1"/>
      <c r="S39" s="1"/>
      <c r="T39" s="1"/>
      <c r="U39" s="1"/>
      <c r="V39" s="1"/>
      <c r="W39" s="1"/>
      <c r="X39" s="1"/>
      <c r="Y39" s="1"/>
      <c r="Z39" s="1"/>
    </row>
    <row r="40" ht="15.75" customHeight="1">
      <c r="A40" s="10"/>
      <c r="B40" s="96" t="s">
        <v>269</v>
      </c>
      <c r="C40" s="87"/>
      <c r="D40" s="87"/>
      <c r="E40" s="87"/>
      <c r="F40" s="87"/>
      <c r="G40" s="87"/>
      <c r="H40" s="87"/>
      <c r="I40" s="97"/>
      <c r="J40" s="97"/>
      <c r="K40" s="97"/>
      <c r="L40" s="97"/>
      <c r="M40" s="87"/>
      <c r="N40" s="87"/>
      <c r="O40" s="97"/>
      <c r="P40" s="92"/>
      <c r="Q40" s="1"/>
      <c r="R40" s="1"/>
      <c r="S40" s="1"/>
      <c r="T40" s="1"/>
      <c r="U40" s="1"/>
      <c r="V40" s="1"/>
      <c r="W40" s="1"/>
      <c r="X40" s="1"/>
      <c r="Y40" s="1"/>
      <c r="Z40" s="1"/>
    </row>
    <row r="41" ht="44.25" customHeight="1">
      <c r="A41" s="10">
        <f>0+1</f>
        <v>1</v>
      </c>
      <c r="B41" s="13" t="str">
        <f t="shared" ref="B41:B46" si="21">CONCATENATE("0",A41,"-R-MIG-BKP-ARC")</f>
        <v>01-R-MIG-BKP-ARC</v>
      </c>
      <c r="C41" s="18" t="s">
        <v>270</v>
      </c>
      <c r="D41" s="74">
        <v>3.0</v>
      </c>
      <c r="E41" s="18" t="s">
        <v>42</v>
      </c>
      <c r="F41" s="18"/>
      <c r="G41" s="51"/>
      <c r="H41" s="51">
        <f>D41</f>
        <v>3</v>
      </c>
      <c r="I41" s="75"/>
      <c r="J41" s="76">
        <v>100.0</v>
      </c>
      <c r="K41" s="76"/>
      <c r="L41" s="76"/>
      <c r="M41" s="78">
        <f>((J41-100)/(150))</f>
        <v>0</v>
      </c>
      <c r="N41" s="51"/>
      <c r="O41" s="75"/>
      <c r="P41" s="66">
        <f>M41*H41</f>
        <v>0</v>
      </c>
      <c r="Q41" s="1"/>
      <c r="R41" s="1"/>
      <c r="S41" s="1"/>
      <c r="T41" s="1"/>
      <c r="U41" s="1"/>
      <c r="V41" s="1"/>
      <c r="W41" s="1"/>
      <c r="X41" s="1"/>
      <c r="Y41" s="1"/>
      <c r="Z41" s="1"/>
    </row>
    <row r="42" ht="44.25" customHeight="1">
      <c r="A42" s="10">
        <f t="shared" ref="A42:A46" si="22">A41+1</f>
        <v>2</v>
      </c>
      <c r="B42" s="13" t="str">
        <f t="shared" si="21"/>
        <v>02-R-MIG-BKP-ARC</v>
      </c>
      <c r="C42" s="18" t="s">
        <v>271</v>
      </c>
      <c r="D42" s="74">
        <v>2.0</v>
      </c>
      <c r="E42" s="18" t="s">
        <v>42</v>
      </c>
      <c r="F42" s="18"/>
      <c r="G42" s="51"/>
      <c r="H42" s="51"/>
      <c r="I42" s="75">
        <f t="shared" ref="I42:I46" si="23">D42</f>
        <v>2</v>
      </c>
      <c r="J42" s="71" t="s">
        <v>242</v>
      </c>
      <c r="K42" s="76"/>
      <c r="L42" s="76"/>
      <c r="M42" s="72">
        <f t="shared" ref="M42:M46" si="24">IF(J42="SI",1,0)</f>
        <v>1</v>
      </c>
      <c r="N42" s="51"/>
      <c r="O42" s="75"/>
      <c r="P42" s="66">
        <f t="shared" ref="P42:P46" si="25">M42*I42</f>
        <v>2</v>
      </c>
      <c r="Q42" s="1"/>
      <c r="R42" s="1"/>
      <c r="S42" s="1"/>
      <c r="T42" s="1"/>
      <c r="U42" s="1"/>
      <c r="V42" s="1"/>
      <c r="W42" s="1"/>
      <c r="X42" s="1"/>
      <c r="Y42" s="1"/>
      <c r="Z42" s="1"/>
    </row>
    <row r="43" ht="84.75" customHeight="1">
      <c r="A43" s="10">
        <f t="shared" si="22"/>
        <v>3</v>
      </c>
      <c r="B43" s="13" t="str">
        <f t="shared" si="21"/>
        <v>03-R-MIG-BKP-ARC</v>
      </c>
      <c r="C43" s="18" t="s">
        <v>272</v>
      </c>
      <c r="D43" s="74">
        <v>2.0</v>
      </c>
      <c r="E43" s="18" t="s">
        <v>42</v>
      </c>
      <c r="F43" s="18"/>
      <c r="G43" s="51"/>
      <c r="H43" s="51"/>
      <c r="I43" s="75">
        <f t="shared" si="23"/>
        <v>2</v>
      </c>
      <c r="J43" s="71" t="s">
        <v>242</v>
      </c>
      <c r="K43" s="76"/>
      <c r="L43" s="76"/>
      <c r="M43" s="72">
        <f t="shared" si="24"/>
        <v>1</v>
      </c>
      <c r="N43" s="51"/>
      <c r="O43" s="75"/>
      <c r="P43" s="66">
        <f t="shared" si="25"/>
        <v>2</v>
      </c>
      <c r="Q43" s="1"/>
      <c r="R43" s="1"/>
      <c r="S43" s="1"/>
      <c r="T43" s="1"/>
      <c r="U43" s="1"/>
      <c r="V43" s="1"/>
      <c r="W43" s="1"/>
      <c r="X43" s="1"/>
      <c r="Y43" s="1"/>
      <c r="Z43" s="1"/>
    </row>
    <row r="44" ht="15.75" customHeight="1">
      <c r="A44" s="10">
        <f t="shared" si="22"/>
        <v>4</v>
      </c>
      <c r="B44" s="13" t="str">
        <f t="shared" si="21"/>
        <v>04-R-MIG-BKP-ARC</v>
      </c>
      <c r="C44" s="18" t="s">
        <v>273</v>
      </c>
      <c r="D44" s="74">
        <v>2.0</v>
      </c>
      <c r="E44" s="18" t="s">
        <v>42</v>
      </c>
      <c r="F44" s="18"/>
      <c r="G44" s="51"/>
      <c r="H44" s="51"/>
      <c r="I44" s="75">
        <f t="shared" si="23"/>
        <v>2</v>
      </c>
      <c r="J44" s="71" t="s">
        <v>242</v>
      </c>
      <c r="K44" s="76"/>
      <c r="L44" s="76"/>
      <c r="M44" s="72">
        <f t="shared" si="24"/>
        <v>1</v>
      </c>
      <c r="N44" s="51"/>
      <c r="O44" s="75"/>
      <c r="P44" s="66">
        <f t="shared" si="25"/>
        <v>2</v>
      </c>
      <c r="Q44" s="1"/>
      <c r="R44" s="1"/>
      <c r="S44" s="1"/>
      <c r="T44" s="1"/>
      <c r="U44" s="1"/>
      <c r="V44" s="1"/>
      <c r="W44" s="1"/>
      <c r="X44" s="1"/>
      <c r="Y44" s="1"/>
      <c r="Z44" s="1"/>
    </row>
    <row r="45" ht="15.75" customHeight="1">
      <c r="A45" s="10">
        <f t="shared" si="22"/>
        <v>5</v>
      </c>
      <c r="B45" s="13" t="str">
        <f t="shared" si="21"/>
        <v>05-R-MIG-BKP-ARC</v>
      </c>
      <c r="C45" s="18" t="s">
        <v>274</v>
      </c>
      <c r="D45" s="74">
        <v>2.0</v>
      </c>
      <c r="E45" s="18" t="s">
        <v>42</v>
      </c>
      <c r="F45" s="18"/>
      <c r="G45" s="51"/>
      <c r="H45" s="51"/>
      <c r="I45" s="75">
        <f t="shared" si="23"/>
        <v>2</v>
      </c>
      <c r="J45" s="71" t="s">
        <v>242</v>
      </c>
      <c r="K45" s="76"/>
      <c r="L45" s="76"/>
      <c r="M45" s="72">
        <f t="shared" si="24"/>
        <v>1</v>
      </c>
      <c r="N45" s="51"/>
      <c r="O45" s="75"/>
      <c r="P45" s="66">
        <f t="shared" si="25"/>
        <v>2</v>
      </c>
      <c r="Q45" s="1"/>
      <c r="R45" s="1"/>
      <c r="S45" s="1"/>
      <c r="T45" s="1"/>
      <c r="U45" s="1"/>
      <c r="V45" s="1"/>
      <c r="W45" s="1"/>
      <c r="X45" s="1"/>
      <c r="Y45" s="1"/>
      <c r="Z45" s="1"/>
    </row>
    <row r="46" ht="15.75" customHeight="1">
      <c r="A46" s="10">
        <f t="shared" si="22"/>
        <v>6</v>
      </c>
      <c r="B46" s="13" t="str">
        <f t="shared" si="21"/>
        <v>06-R-MIG-BKP-ARC</v>
      </c>
      <c r="C46" s="18" t="s">
        <v>275</v>
      </c>
      <c r="D46" s="74">
        <v>2.0</v>
      </c>
      <c r="E46" s="18" t="s">
        <v>42</v>
      </c>
      <c r="F46" s="18"/>
      <c r="G46" s="51"/>
      <c r="H46" s="51"/>
      <c r="I46" s="75">
        <f t="shared" si="23"/>
        <v>2</v>
      </c>
      <c r="J46" s="71" t="s">
        <v>242</v>
      </c>
      <c r="K46" s="76"/>
      <c r="L46" s="76"/>
      <c r="M46" s="72">
        <f t="shared" si="24"/>
        <v>1</v>
      </c>
      <c r="N46" s="51"/>
      <c r="O46" s="75"/>
      <c r="P46" s="66">
        <f t="shared" si="25"/>
        <v>2</v>
      </c>
      <c r="Q46" s="1"/>
      <c r="R46" s="1"/>
      <c r="S46" s="1"/>
      <c r="T46" s="1"/>
      <c r="U46" s="1"/>
      <c r="V46" s="1"/>
      <c r="W46" s="1"/>
      <c r="X46" s="1"/>
      <c r="Y46" s="1"/>
      <c r="Z46" s="1"/>
    </row>
    <row r="47" ht="15.75" customHeight="1">
      <c r="A47" s="5"/>
      <c r="B47" s="96" t="s">
        <v>137</v>
      </c>
      <c r="C47" s="87"/>
      <c r="D47" s="87"/>
      <c r="E47" s="87"/>
      <c r="F47" s="87"/>
      <c r="G47" s="87"/>
      <c r="H47" s="87"/>
      <c r="I47" s="97"/>
      <c r="J47" s="97"/>
      <c r="K47" s="97"/>
      <c r="L47" s="97"/>
      <c r="M47" s="87"/>
      <c r="N47" s="87"/>
      <c r="O47" s="97"/>
      <c r="P47" s="92"/>
      <c r="Q47" s="1"/>
      <c r="R47" s="1"/>
      <c r="S47" s="1"/>
      <c r="T47" s="1"/>
      <c r="U47" s="1"/>
      <c r="V47" s="1"/>
      <c r="W47" s="1"/>
      <c r="X47" s="1"/>
      <c r="Y47" s="1"/>
      <c r="Z47" s="1"/>
    </row>
    <row r="48" ht="96.0" customHeight="1">
      <c r="A48" s="10">
        <f>0+1</f>
        <v>1</v>
      </c>
      <c r="B48" s="13" t="str">
        <f t="shared" ref="B48:B49" si="26">CONCATENATE("0",A48,"-R-MIG-BKP-FTY")</f>
        <v>01-R-MIG-BKP-FTY</v>
      </c>
      <c r="C48" s="18" t="s">
        <v>276</v>
      </c>
      <c r="D48" s="74">
        <v>2.0</v>
      </c>
      <c r="E48" s="18" t="s">
        <v>42</v>
      </c>
      <c r="F48" s="18"/>
      <c r="G48" s="51"/>
      <c r="H48" s="51"/>
      <c r="I48" s="75">
        <f t="shared" ref="I48:I49" si="27">D48</f>
        <v>2</v>
      </c>
      <c r="J48" s="71" t="s">
        <v>242</v>
      </c>
      <c r="K48" s="76"/>
      <c r="L48" s="76"/>
      <c r="M48" s="72">
        <f t="shared" ref="M48:M49" si="28">IF(J48="SI",1,0)</f>
        <v>1</v>
      </c>
      <c r="N48" s="51"/>
      <c r="O48" s="75"/>
      <c r="P48" s="66">
        <f t="shared" ref="P48:P49" si="29">M48*I48</f>
        <v>2</v>
      </c>
      <c r="Q48" s="1"/>
      <c r="R48" s="1"/>
      <c r="S48" s="1"/>
      <c r="T48" s="1"/>
      <c r="U48" s="1"/>
      <c r="V48" s="1"/>
      <c r="W48" s="1"/>
      <c r="X48" s="1"/>
      <c r="Y48" s="1"/>
      <c r="Z48" s="1"/>
    </row>
    <row r="49" ht="15.75" customHeight="1">
      <c r="A49" s="10">
        <f>A48+1</f>
        <v>2</v>
      </c>
      <c r="B49" s="13" t="str">
        <f t="shared" si="26"/>
        <v>02-R-MIG-BKP-FTY</v>
      </c>
      <c r="C49" s="18" t="s">
        <v>277</v>
      </c>
      <c r="D49" s="40">
        <v>1.0</v>
      </c>
      <c r="E49" s="18" t="s">
        <v>42</v>
      </c>
      <c r="F49" s="18"/>
      <c r="G49" s="51"/>
      <c r="H49" s="51"/>
      <c r="I49" s="75">
        <f t="shared" si="27"/>
        <v>1</v>
      </c>
      <c r="J49" s="71" t="s">
        <v>242</v>
      </c>
      <c r="K49" s="76"/>
      <c r="L49" s="76"/>
      <c r="M49" s="72">
        <f t="shared" si="28"/>
        <v>1</v>
      </c>
      <c r="N49" s="51"/>
      <c r="O49" s="75"/>
      <c r="P49" s="66">
        <f t="shared" si="29"/>
        <v>1</v>
      </c>
      <c r="Q49" s="1"/>
      <c r="R49" s="1"/>
      <c r="S49" s="1"/>
      <c r="T49" s="1"/>
      <c r="U49" s="1"/>
      <c r="V49" s="1"/>
      <c r="W49" s="1"/>
      <c r="X49" s="1"/>
      <c r="Y49" s="1"/>
      <c r="Z49" s="1"/>
    </row>
    <row r="50" ht="15.75" customHeight="1">
      <c r="A50" s="5"/>
      <c r="B50" s="96" t="s">
        <v>191</v>
      </c>
      <c r="C50" s="87"/>
      <c r="D50" s="87"/>
      <c r="E50" s="87"/>
      <c r="F50" s="87"/>
      <c r="G50" s="87"/>
      <c r="H50" s="87"/>
      <c r="I50" s="97"/>
      <c r="J50" s="97"/>
      <c r="K50" s="97"/>
      <c r="L50" s="97"/>
      <c r="M50" s="87"/>
      <c r="N50" s="87"/>
      <c r="O50" s="97"/>
      <c r="P50" s="92"/>
      <c r="Q50" s="1"/>
      <c r="R50" s="1"/>
      <c r="S50" s="1"/>
      <c r="T50" s="1"/>
      <c r="U50" s="1"/>
      <c r="V50" s="1"/>
      <c r="W50" s="1"/>
      <c r="X50" s="1"/>
      <c r="Y50" s="1"/>
      <c r="Z50" s="1"/>
    </row>
    <row r="51" ht="60.0" customHeight="1">
      <c r="A51" s="10">
        <f>0+1</f>
        <v>1</v>
      </c>
      <c r="B51" s="13" t="str">
        <f t="shared" ref="B51:B53" si="30">CONCATENATE("0",A51,"-R-MIG-BKP-SSW")</f>
        <v>01-R-MIG-BKP-SSW</v>
      </c>
      <c r="C51" s="18" t="s">
        <v>278</v>
      </c>
      <c r="D51" s="74">
        <v>2.0</v>
      </c>
      <c r="E51" s="18" t="s">
        <v>42</v>
      </c>
      <c r="F51" s="18"/>
      <c r="G51" s="51"/>
      <c r="H51" s="51"/>
      <c r="I51" s="75">
        <f t="shared" ref="I51:I53" si="31">D51</f>
        <v>2</v>
      </c>
      <c r="J51" s="71" t="s">
        <v>242</v>
      </c>
      <c r="K51" s="76"/>
      <c r="L51" s="76"/>
      <c r="M51" s="72">
        <f t="shared" ref="M51:M53" si="32">IF(J51="SI",1,0)</f>
        <v>1</v>
      </c>
      <c r="N51" s="51"/>
      <c r="O51" s="75"/>
      <c r="P51" s="66">
        <f t="shared" ref="P51:P53" si="33">M51*I51</f>
        <v>2</v>
      </c>
      <c r="Q51" s="1"/>
      <c r="R51" s="1"/>
      <c r="S51" s="1"/>
      <c r="T51" s="1"/>
      <c r="U51" s="1"/>
      <c r="V51" s="1"/>
      <c r="W51" s="1"/>
      <c r="X51" s="1"/>
      <c r="Y51" s="1"/>
      <c r="Z51" s="1"/>
    </row>
    <row r="52" ht="15.75" customHeight="1">
      <c r="A52" s="10">
        <f t="shared" ref="A52:A53" si="34">A51+1</f>
        <v>2</v>
      </c>
      <c r="B52" s="13" t="str">
        <f t="shared" si="30"/>
        <v>02-R-MIG-BKP-SSW</v>
      </c>
      <c r="C52" s="18" t="s">
        <v>279</v>
      </c>
      <c r="D52" s="74">
        <v>2.0</v>
      </c>
      <c r="E52" s="18" t="s">
        <v>42</v>
      </c>
      <c r="F52" s="18"/>
      <c r="G52" s="51"/>
      <c r="H52" s="51"/>
      <c r="I52" s="75">
        <f t="shared" si="31"/>
        <v>2</v>
      </c>
      <c r="J52" s="71" t="s">
        <v>242</v>
      </c>
      <c r="K52" s="76"/>
      <c r="L52" s="76"/>
      <c r="M52" s="72">
        <f t="shared" si="32"/>
        <v>1</v>
      </c>
      <c r="N52" s="51"/>
      <c r="O52" s="75"/>
      <c r="P52" s="66">
        <f t="shared" si="33"/>
        <v>2</v>
      </c>
      <c r="Q52" s="1"/>
      <c r="R52" s="1"/>
      <c r="S52" s="1"/>
      <c r="T52" s="1"/>
      <c r="U52" s="1"/>
      <c r="V52" s="1"/>
      <c r="W52" s="1"/>
      <c r="X52" s="1"/>
      <c r="Y52" s="1"/>
      <c r="Z52" s="1"/>
    </row>
    <row r="53" ht="63.0" customHeight="1">
      <c r="A53" s="10">
        <f t="shared" si="34"/>
        <v>3</v>
      </c>
      <c r="B53" s="13" t="str">
        <f t="shared" si="30"/>
        <v>03-R-MIG-BKP-SSW</v>
      </c>
      <c r="C53" s="18" t="s">
        <v>280</v>
      </c>
      <c r="D53" s="74">
        <v>2.0</v>
      </c>
      <c r="E53" s="18" t="s">
        <v>42</v>
      </c>
      <c r="F53" s="18"/>
      <c r="G53" s="51"/>
      <c r="H53" s="51"/>
      <c r="I53" s="75">
        <f t="shared" si="31"/>
        <v>2</v>
      </c>
      <c r="J53" s="71" t="s">
        <v>242</v>
      </c>
      <c r="K53" s="76"/>
      <c r="L53" s="76"/>
      <c r="M53" s="72">
        <f t="shared" si="32"/>
        <v>1</v>
      </c>
      <c r="N53" s="51"/>
      <c r="O53" s="75"/>
      <c r="P53" s="66">
        <f t="shared" si="33"/>
        <v>2</v>
      </c>
      <c r="Q53" s="1"/>
      <c r="R53" s="1"/>
      <c r="S53" s="1"/>
      <c r="T53" s="1"/>
      <c r="U53" s="1"/>
      <c r="V53" s="1"/>
      <c r="W53" s="1"/>
      <c r="X53" s="1"/>
      <c r="Y53" s="1"/>
      <c r="Z53" s="1"/>
    </row>
    <row r="54" ht="15.75" customHeight="1">
      <c r="A54" s="1"/>
      <c r="B54" s="84" t="s">
        <v>200</v>
      </c>
      <c r="C54" s="84"/>
      <c r="D54" s="84"/>
      <c r="E54" s="84"/>
      <c r="F54" s="84"/>
      <c r="G54" s="84"/>
      <c r="H54" s="84"/>
      <c r="I54" s="84"/>
      <c r="J54" s="84"/>
      <c r="K54" s="84"/>
      <c r="L54" s="84"/>
      <c r="M54" s="86"/>
      <c r="N54" s="86"/>
      <c r="O54" s="85"/>
      <c r="P54" s="99"/>
      <c r="Q54" s="1"/>
      <c r="R54" s="1"/>
      <c r="S54" s="1"/>
      <c r="T54" s="1"/>
      <c r="U54" s="1"/>
      <c r="V54" s="1"/>
      <c r="W54" s="1"/>
      <c r="X54" s="1"/>
      <c r="Y54" s="1"/>
      <c r="Z54" s="1"/>
    </row>
    <row r="55" ht="15.75" customHeight="1">
      <c r="A55" s="1"/>
      <c r="B55" s="96" t="s">
        <v>64</v>
      </c>
      <c r="C55" s="87"/>
      <c r="D55" s="87"/>
      <c r="E55" s="87"/>
      <c r="F55" s="87"/>
      <c r="G55" s="87"/>
      <c r="H55" s="87"/>
      <c r="I55" s="97"/>
      <c r="J55" s="97"/>
      <c r="K55" s="97"/>
      <c r="L55" s="97"/>
      <c r="M55" s="87"/>
      <c r="N55" s="87"/>
      <c r="O55" s="97"/>
      <c r="P55" s="92"/>
      <c r="Q55" s="1"/>
      <c r="R55" s="1"/>
      <c r="S55" s="1"/>
      <c r="T55" s="1"/>
      <c r="U55" s="1"/>
      <c r="V55" s="1"/>
      <c r="W55" s="1"/>
      <c r="X55" s="1"/>
      <c r="Y55" s="1"/>
      <c r="Z55" s="1"/>
    </row>
    <row r="56" ht="39.0" customHeight="1">
      <c r="A56" s="10">
        <f>0+1</f>
        <v>1</v>
      </c>
      <c r="B56" s="13" t="str">
        <f t="shared" ref="B56:B57" si="35">CONCATENATE("0",A56,"-R-MIG-TNG-GEN")</f>
        <v>01-R-MIG-TNG-GEN</v>
      </c>
      <c r="C56" s="18" t="s">
        <v>281</v>
      </c>
      <c r="D56" s="74">
        <v>2.0</v>
      </c>
      <c r="E56" s="13" t="s">
        <v>42</v>
      </c>
      <c r="F56" s="13"/>
      <c r="G56" s="51"/>
      <c r="H56" s="51">
        <f>D56</f>
        <v>2</v>
      </c>
      <c r="I56" s="75"/>
      <c r="J56" s="76">
        <v>10.0</v>
      </c>
      <c r="K56" s="76"/>
      <c r="L56" s="76"/>
      <c r="M56" s="78">
        <f>((J56-5)/(5))</f>
        <v>1</v>
      </c>
      <c r="N56" s="51"/>
      <c r="O56" s="75"/>
      <c r="P56" s="66">
        <f>M56*H56</f>
        <v>2</v>
      </c>
      <c r="Q56" s="1"/>
      <c r="R56" s="1"/>
      <c r="S56" s="1"/>
      <c r="T56" s="1"/>
      <c r="U56" s="1"/>
      <c r="V56" s="1"/>
      <c r="W56" s="1"/>
      <c r="X56" s="1"/>
      <c r="Y56" s="1"/>
      <c r="Z56" s="1"/>
    </row>
    <row r="57" ht="44.25" customHeight="1">
      <c r="A57" s="10">
        <f>A56+1</f>
        <v>2</v>
      </c>
      <c r="B57" s="13" t="str">
        <f t="shared" si="35"/>
        <v>02-R-MIG-TNG-GEN</v>
      </c>
      <c r="C57" s="18" t="s">
        <v>282</v>
      </c>
      <c r="D57" s="74">
        <v>2.0</v>
      </c>
      <c r="E57" s="13" t="s">
        <v>42</v>
      </c>
      <c r="F57" s="13"/>
      <c r="G57" s="51"/>
      <c r="H57" s="51"/>
      <c r="I57" s="75">
        <f>D57</f>
        <v>2</v>
      </c>
      <c r="J57" s="71" t="s">
        <v>242</v>
      </c>
      <c r="K57" s="76"/>
      <c r="L57" s="76"/>
      <c r="M57" s="72">
        <f>IF(J57="SI",1,0)</f>
        <v>1</v>
      </c>
      <c r="N57" s="51"/>
      <c r="O57" s="75"/>
      <c r="P57" s="66">
        <f>M57*I57</f>
        <v>2</v>
      </c>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00"/>
      <c r="Q58" s="1"/>
      <c r="R58" s="1"/>
      <c r="S58" s="1"/>
      <c r="T58" s="1"/>
      <c r="U58" s="1"/>
      <c r="V58" s="1"/>
      <c r="W58" s="1"/>
      <c r="X58" s="1"/>
      <c r="Y58" s="1"/>
      <c r="Z58" s="1"/>
    </row>
    <row r="59" ht="15.75" hidden="1" customHeight="1">
      <c r="A59" s="1"/>
      <c r="B59" s="1"/>
      <c r="C59" s="1"/>
      <c r="D59" s="1">
        <f>SUM(D3:D57)</f>
        <v>90</v>
      </c>
      <c r="E59" s="1"/>
      <c r="F59" s="1"/>
      <c r="G59" s="1">
        <f t="shared" ref="G59:I59" si="36">SUM(G3:G57)</f>
        <v>10</v>
      </c>
      <c r="H59" s="1">
        <f t="shared" si="36"/>
        <v>37</v>
      </c>
      <c r="I59" s="1">
        <f t="shared" si="36"/>
        <v>51</v>
      </c>
      <c r="J59" s="1"/>
      <c r="K59" s="1"/>
      <c r="L59" s="1"/>
      <c r="M59" s="1"/>
      <c r="N59" s="1"/>
      <c r="O59" s="1"/>
      <c r="P59" s="100"/>
      <c r="Q59" s="1"/>
      <c r="R59" s="1"/>
      <c r="S59" s="1"/>
      <c r="T59" s="1"/>
      <c r="U59" s="1"/>
      <c r="V59" s="1"/>
      <c r="W59" s="1"/>
      <c r="X59" s="1"/>
      <c r="Y59" s="1"/>
      <c r="Z59" s="1"/>
    </row>
    <row r="60" ht="15.75" customHeight="1">
      <c r="A60" s="1"/>
      <c r="B60" s="1"/>
      <c r="C60" s="1"/>
      <c r="D60" s="1"/>
      <c r="E60" s="1"/>
      <c r="F60" s="1"/>
      <c r="G60" s="1"/>
      <c r="H60" s="1"/>
      <c r="I60" s="1"/>
      <c r="J60" s="1"/>
      <c r="K60" s="1"/>
      <c r="L60" s="1"/>
      <c r="M60" s="101"/>
      <c r="N60" s="1"/>
      <c r="O60" s="1"/>
      <c r="P60" s="100"/>
      <c r="Q60" s="1"/>
      <c r="R60" s="1"/>
      <c r="S60" s="1"/>
      <c r="T60" s="1"/>
      <c r="U60" s="1"/>
      <c r="V60" s="1"/>
      <c r="W60" s="1"/>
      <c r="X60" s="1"/>
      <c r="Y60" s="1"/>
      <c r="Z60" s="1"/>
    </row>
    <row r="61" ht="15.75" customHeight="1">
      <c r="A61" s="1"/>
      <c r="B61" s="1"/>
      <c r="C61" s="1"/>
      <c r="D61" s="1"/>
      <c r="E61" s="1"/>
      <c r="F61" s="1"/>
      <c r="G61" s="1"/>
      <c r="H61" s="1"/>
      <c r="I61" s="1"/>
      <c r="J61" s="1"/>
      <c r="K61" s="1"/>
      <c r="L61" s="1"/>
      <c r="M61" s="102" t="s">
        <v>283</v>
      </c>
      <c r="N61" s="103"/>
      <c r="O61" s="103"/>
      <c r="P61" s="104">
        <f>SUM(P3:P57)</f>
        <v>78.35</v>
      </c>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00"/>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00"/>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00"/>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00"/>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00"/>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00"/>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00"/>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00"/>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00"/>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00"/>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00"/>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00"/>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00"/>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00"/>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00"/>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00"/>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00"/>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00"/>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00"/>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00"/>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00"/>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00"/>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00"/>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00"/>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00"/>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00"/>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00"/>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00"/>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00"/>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00"/>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00"/>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00"/>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00"/>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00"/>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00"/>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00"/>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00"/>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00"/>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00"/>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00"/>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00"/>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00"/>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00"/>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00"/>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00"/>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00"/>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00"/>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00"/>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00"/>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00"/>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00"/>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00"/>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00"/>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00"/>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00"/>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00"/>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00"/>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00"/>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00"/>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00"/>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00"/>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00"/>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00"/>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00"/>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00"/>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00"/>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00"/>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00"/>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00"/>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00"/>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00"/>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00"/>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00"/>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00"/>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00"/>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00"/>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00"/>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00"/>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00"/>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00"/>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00"/>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00"/>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00"/>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00"/>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00"/>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00"/>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00"/>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00"/>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00"/>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00"/>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00"/>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00"/>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00"/>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00"/>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00"/>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00"/>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00"/>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00"/>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00"/>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00"/>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00"/>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00"/>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00"/>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00"/>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00"/>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00"/>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00"/>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00"/>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00"/>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00"/>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00"/>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00"/>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00"/>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00"/>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00"/>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00"/>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00"/>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00"/>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00"/>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00"/>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00"/>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00"/>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00"/>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00"/>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00"/>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00"/>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00"/>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00"/>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00"/>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00"/>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00"/>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00"/>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00"/>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00"/>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00"/>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00"/>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00"/>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00"/>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00"/>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00"/>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00"/>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00"/>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00"/>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00"/>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00"/>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00"/>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00"/>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00"/>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00"/>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00"/>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00"/>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00"/>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00"/>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00"/>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00"/>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00"/>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00"/>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00"/>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00"/>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00"/>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00"/>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00"/>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00"/>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00"/>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00"/>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00"/>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00"/>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00"/>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00"/>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00"/>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00"/>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00"/>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00"/>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00"/>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00"/>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00"/>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00"/>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00"/>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00"/>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00"/>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00"/>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00"/>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00"/>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00"/>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00"/>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00"/>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00"/>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00"/>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00"/>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00"/>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00"/>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00"/>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00"/>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00"/>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00"/>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00"/>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00"/>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00"/>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00"/>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00"/>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00"/>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00"/>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00"/>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00"/>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00"/>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00"/>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00"/>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00"/>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00"/>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00"/>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00"/>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00"/>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00"/>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00"/>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00"/>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00"/>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00"/>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00"/>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00"/>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00"/>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00"/>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00"/>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00"/>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00"/>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00"/>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00"/>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00"/>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00"/>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00"/>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00"/>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00"/>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00"/>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00"/>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00"/>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00"/>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00"/>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00"/>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00"/>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00"/>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00"/>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00"/>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00"/>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00"/>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00"/>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00"/>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00"/>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00"/>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00"/>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00"/>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00"/>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00"/>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00"/>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00"/>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00"/>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00"/>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00"/>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00"/>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00"/>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00"/>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00"/>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00"/>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00"/>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00"/>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00"/>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00"/>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00"/>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00"/>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00"/>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00"/>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00"/>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00"/>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00"/>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00"/>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00"/>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00"/>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00"/>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00"/>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00"/>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00"/>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00"/>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00"/>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00"/>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00"/>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00"/>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00"/>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00"/>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00"/>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00"/>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00"/>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00"/>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00"/>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00"/>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00"/>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00"/>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00"/>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00"/>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00"/>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00"/>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00"/>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00"/>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00"/>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00"/>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00"/>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00"/>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00"/>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00"/>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00"/>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00"/>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00"/>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00"/>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00"/>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00"/>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00"/>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00"/>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00"/>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00"/>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00"/>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00"/>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00"/>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00"/>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00"/>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00"/>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00"/>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00"/>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00"/>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00"/>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00"/>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00"/>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00"/>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00"/>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00"/>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00"/>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00"/>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00"/>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00"/>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00"/>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00"/>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00"/>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00"/>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00"/>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00"/>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00"/>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00"/>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00"/>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00"/>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00"/>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00"/>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00"/>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00"/>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00"/>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00"/>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00"/>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00"/>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00"/>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00"/>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00"/>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00"/>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00"/>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00"/>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00"/>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00"/>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00"/>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00"/>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00"/>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00"/>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00"/>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00"/>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00"/>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00"/>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00"/>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00"/>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00"/>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00"/>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00"/>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00"/>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00"/>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00"/>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00"/>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00"/>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00"/>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00"/>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00"/>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00"/>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00"/>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00"/>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00"/>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00"/>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00"/>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00"/>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00"/>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00"/>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00"/>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00"/>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00"/>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00"/>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00"/>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00"/>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00"/>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00"/>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00"/>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00"/>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00"/>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00"/>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00"/>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00"/>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00"/>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00"/>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00"/>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00"/>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00"/>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00"/>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00"/>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00"/>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00"/>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00"/>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00"/>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00"/>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00"/>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00"/>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00"/>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00"/>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00"/>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00"/>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00"/>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00"/>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00"/>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00"/>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00"/>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00"/>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00"/>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00"/>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00"/>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00"/>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00"/>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00"/>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00"/>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00"/>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00"/>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00"/>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00"/>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00"/>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00"/>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00"/>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00"/>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00"/>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00"/>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00"/>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00"/>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00"/>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00"/>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00"/>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00"/>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00"/>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00"/>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00"/>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00"/>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00"/>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00"/>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00"/>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00"/>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00"/>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00"/>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00"/>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00"/>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00"/>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00"/>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00"/>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00"/>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00"/>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00"/>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00"/>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00"/>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00"/>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00"/>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00"/>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00"/>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00"/>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00"/>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00"/>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00"/>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00"/>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00"/>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00"/>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00"/>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00"/>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00"/>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00"/>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00"/>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00"/>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00"/>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00"/>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00"/>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00"/>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00"/>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00"/>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00"/>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00"/>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00"/>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00"/>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00"/>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00"/>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00"/>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00"/>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00"/>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00"/>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00"/>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00"/>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00"/>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00"/>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00"/>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00"/>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00"/>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00"/>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00"/>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00"/>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00"/>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00"/>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00"/>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00"/>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00"/>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00"/>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00"/>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00"/>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00"/>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00"/>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00"/>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00"/>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00"/>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00"/>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00"/>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00"/>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00"/>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00"/>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00"/>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00"/>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00"/>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00"/>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00"/>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00"/>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00"/>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00"/>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00"/>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00"/>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00"/>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00"/>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00"/>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00"/>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00"/>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00"/>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00"/>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00"/>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00"/>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00"/>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00"/>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00"/>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00"/>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00"/>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00"/>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00"/>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00"/>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00"/>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00"/>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00"/>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00"/>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00"/>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00"/>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00"/>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00"/>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00"/>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00"/>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00"/>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00"/>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00"/>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00"/>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00"/>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00"/>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00"/>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00"/>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00"/>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00"/>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00"/>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00"/>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00"/>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00"/>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00"/>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00"/>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00"/>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00"/>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00"/>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00"/>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00"/>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00"/>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00"/>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00"/>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00"/>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00"/>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00"/>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00"/>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00"/>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00"/>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00"/>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00"/>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00"/>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00"/>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00"/>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00"/>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00"/>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00"/>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00"/>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00"/>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00"/>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00"/>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00"/>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00"/>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00"/>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00"/>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00"/>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00"/>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00"/>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00"/>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00"/>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00"/>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00"/>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00"/>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00"/>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00"/>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00"/>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00"/>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00"/>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00"/>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00"/>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00"/>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00"/>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00"/>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00"/>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00"/>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00"/>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00"/>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00"/>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00"/>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00"/>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00"/>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00"/>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00"/>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00"/>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00"/>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00"/>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00"/>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00"/>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00"/>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00"/>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00"/>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00"/>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00"/>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00"/>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00"/>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00"/>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00"/>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00"/>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00"/>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00"/>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00"/>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00"/>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00"/>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00"/>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00"/>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00"/>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00"/>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00"/>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00"/>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00"/>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00"/>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00"/>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00"/>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00"/>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00"/>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00"/>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00"/>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00"/>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00"/>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00"/>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00"/>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00"/>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00"/>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00"/>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00"/>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00"/>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00"/>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00"/>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00"/>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00"/>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00"/>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00"/>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00"/>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00"/>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00"/>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00"/>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00"/>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00"/>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00"/>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00"/>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00"/>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00"/>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00"/>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00"/>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00"/>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00"/>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00"/>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00"/>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00"/>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00"/>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00"/>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00"/>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00"/>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00"/>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00"/>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00"/>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00"/>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00"/>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00"/>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00"/>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00"/>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00"/>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00"/>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00"/>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00"/>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00"/>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00"/>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00"/>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00"/>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00"/>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00"/>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00"/>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00"/>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00"/>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00"/>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00"/>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00"/>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00"/>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00"/>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00"/>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00"/>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00"/>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00"/>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00"/>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00"/>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00"/>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00"/>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00"/>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00"/>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00"/>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00"/>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00"/>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00"/>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00"/>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00"/>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00"/>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00"/>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00"/>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00"/>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00"/>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00"/>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00"/>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00"/>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00"/>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00"/>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00"/>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00"/>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00"/>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00"/>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00"/>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00"/>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00"/>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00"/>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00"/>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00"/>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00"/>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00"/>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00"/>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00"/>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00"/>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00"/>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00"/>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00"/>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00"/>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00"/>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00"/>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00"/>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00"/>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00"/>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00"/>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00"/>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00"/>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00"/>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00"/>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00"/>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00"/>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00"/>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00"/>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00"/>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00"/>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00"/>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00"/>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00"/>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00"/>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00"/>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00"/>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00"/>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00"/>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00"/>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00"/>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00"/>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00"/>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00"/>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00"/>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00"/>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00"/>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00"/>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00"/>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00"/>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00"/>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00"/>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00"/>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00"/>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00"/>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00"/>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00"/>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00"/>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00"/>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00"/>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00"/>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00"/>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00"/>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00"/>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00"/>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00"/>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00"/>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00"/>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00"/>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00"/>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00"/>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00"/>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00"/>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00"/>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00"/>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00"/>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00"/>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00"/>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00"/>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00"/>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00"/>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00"/>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00"/>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00"/>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00"/>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00"/>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00"/>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00"/>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00"/>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00"/>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00"/>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00"/>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00"/>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00"/>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00"/>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00"/>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00"/>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00"/>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00"/>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00"/>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00"/>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00"/>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00"/>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00"/>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00"/>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00"/>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00"/>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00"/>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00"/>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00"/>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00"/>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00"/>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00"/>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00"/>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00"/>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00"/>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00"/>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00"/>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00"/>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00"/>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00"/>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00"/>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00"/>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00"/>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00"/>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00"/>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00"/>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00"/>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00"/>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00"/>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00"/>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00"/>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00"/>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00"/>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00"/>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00"/>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00"/>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00"/>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00"/>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00"/>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00"/>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00"/>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00"/>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00"/>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00"/>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00"/>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00"/>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00"/>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00"/>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00"/>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00"/>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00"/>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00"/>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00"/>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00"/>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00"/>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00"/>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00"/>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00"/>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00"/>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00"/>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00"/>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00"/>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00"/>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00"/>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00"/>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00"/>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00"/>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00"/>
      <c r="Q1000" s="1"/>
      <c r="R1000" s="1"/>
      <c r="S1000" s="1"/>
      <c r="T1000" s="1"/>
      <c r="U1000" s="1"/>
      <c r="V1000" s="1"/>
      <c r="W1000" s="1"/>
      <c r="X1000" s="1"/>
      <c r="Y1000" s="1"/>
      <c r="Z1000" s="1"/>
    </row>
  </sheetData>
  <mergeCells count="12">
    <mergeCell ref="N9:N10"/>
    <mergeCell ref="O9:O10"/>
    <mergeCell ref="B26:B27"/>
    <mergeCell ref="C26:C27"/>
    <mergeCell ref="D26:D27"/>
    <mergeCell ref="A9:A10"/>
    <mergeCell ref="B9:B10"/>
    <mergeCell ref="D9:D10"/>
    <mergeCell ref="E9:E10"/>
    <mergeCell ref="F9:F10"/>
    <mergeCell ref="G9:G10"/>
    <mergeCell ref="I9:I10"/>
  </mergeCells>
  <dataValidations>
    <dataValidation type="list" allowBlank="1" showErrorMessage="1" sqref="J5:J7 J14 J16:J17 J21 J23 J26:J28 J30 J32 J34:J35 J37:J38 J42:J46 J48:J49 J51:J53 J57">
      <formula1>$R$3:$R$4</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14"/>
    <col customWidth="1" min="2" max="3" width="23.43"/>
    <col customWidth="1" min="4" max="7" width="20.86"/>
    <col customWidth="1" min="8" max="8" width="16.71"/>
    <col customWidth="1" min="9" max="26" width="8.71"/>
  </cols>
  <sheetData>
    <row r="2">
      <c r="A2" s="31" t="s">
        <v>284</v>
      </c>
      <c r="B2" s="31"/>
      <c r="C2" s="31"/>
      <c r="D2" s="32"/>
    </row>
    <row r="4">
      <c r="A4" s="105" t="s">
        <v>285</v>
      </c>
      <c r="B4" s="105"/>
      <c r="C4" s="105"/>
    </row>
    <row r="7">
      <c r="A7" s="106" t="s">
        <v>286</v>
      </c>
      <c r="B7" s="106"/>
      <c r="C7" s="106"/>
    </row>
    <row r="8">
      <c r="A8" s="107"/>
      <c r="B8" s="107"/>
      <c r="C8" s="107"/>
    </row>
    <row r="17">
      <c r="A17" s="108" t="s">
        <v>223</v>
      </c>
      <c r="B17" s="108" t="s">
        <v>287</v>
      </c>
      <c r="C17" s="109" t="s">
        <v>288</v>
      </c>
      <c r="D17" s="108" t="s">
        <v>289</v>
      </c>
      <c r="E17" s="108" t="s">
        <v>290</v>
      </c>
      <c r="F17" s="108" t="s">
        <v>291</v>
      </c>
      <c r="G17" s="108" t="s">
        <v>292</v>
      </c>
      <c r="H17" s="108" t="s">
        <v>293</v>
      </c>
      <c r="I17" s="1"/>
      <c r="J17" s="1"/>
      <c r="K17" s="1"/>
      <c r="L17" s="1"/>
      <c r="M17" s="1"/>
      <c r="N17" s="1"/>
      <c r="O17" s="1"/>
      <c r="P17" s="1"/>
      <c r="Q17" s="1"/>
      <c r="R17" s="1"/>
      <c r="S17" s="1"/>
      <c r="T17" s="1"/>
      <c r="U17" s="1"/>
      <c r="V17" s="1"/>
      <c r="W17" s="1"/>
      <c r="X17" s="1"/>
      <c r="Y17" s="1"/>
      <c r="Z17" s="1"/>
    </row>
    <row r="18">
      <c r="A18" s="51" t="s">
        <v>294</v>
      </c>
      <c r="B18" s="110">
        <v>1077037.08</v>
      </c>
      <c r="C18" s="110">
        <v>1099475.15</v>
      </c>
      <c r="D18" s="111">
        <f>(C18-B18)/(C18)</f>
        <v>0.02040798285</v>
      </c>
      <c r="E18" s="111">
        <f>MAX($D$18)</f>
        <v>0.02040798285</v>
      </c>
      <c r="F18" s="51">
        <v>0.2</v>
      </c>
      <c r="G18" s="53">
        <f>(D18/E18)^(F18)</f>
        <v>1</v>
      </c>
      <c r="H18" s="112">
        <f>G18*10</f>
        <v>10</v>
      </c>
      <c r="I18" s="1"/>
      <c r="J18" s="1"/>
      <c r="K18" s="1"/>
      <c r="L18" s="1"/>
      <c r="M18" s="1"/>
      <c r="N18" s="1"/>
      <c r="O18" s="1"/>
      <c r="P18" s="1"/>
      <c r="Q18" s="1"/>
      <c r="R18" s="1"/>
      <c r="S18" s="1"/>
      <c r="T18" s="1"/>
      <c r="U18" s="1"/>
      <c r="V18" s="1"/>
      <c r="W18" s="1"/>
      <c r="X18" s="1"/>
      <c r="Y18" s="1"/>
      <c r="Z18" s="1"/>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28.29"/>
    <col customWidth="1" min="3" max="3" width="29.57"/>
    <col customWidth="1" min="4" max="4" width="26.57"/>
    <col customWidth="1" min="5" max="5" width="31.29"/>
    <col customWidth="1" min="6" max="26" width="8.86"/>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1"/>
      <c r="B3" s="2" t="s">
        <v>295</v>
      </c>
      <c r="C3" s="2" t="s">
        <v>296</v>
      </c>
      <c r="D3" s="2" t="s">
        <v>297</v>
      </c>
      <c r="E3" s="2" t="s">
        <v>298</v>
      </c>
      <c r="F3" s="1"/>
      <c r="G3" s="1"/>
      <c r="H3" s="1"/>
      <c r="I3" s="1"/>
      <c r="J3" s="1"/>
      <c r="K3" s="1"/>
      <c r="L3" s="1"/>
      <c r="M3" s="1"/>
      <c r="N3" s="1"/>
      <c r="O3" s="1"/>
      <c r="P3" s="1"/>
      <c r="Q3" s="1"/>
      <c r="R3" s="1"/>
      <c r="S3" s="1"/>
      <c r="T3" s="1"/>
      <c r="U3" s="1"/>
      <c r="V3" s="1"/>
      <c r="W3" s="1"/>
      <c r="X3" s="1"/>
      <c r="Y3" s="1"/>
      <c r="Z3" s="1"/>
    </row>
    <row r="4">
      <c r="A4" s="1"/>
      <c r="B4" s="113" t="s">
        <v>229</v>
      </c>
      <c r="C4" s="114">
        <f>'Offerta Tecnica-calcolo punt.'!P61</f>
        <v>78.35</v>
      </c>
      <c r="D4" s="114">
        <f>'Offerta Economica-calcolo punt.'!H18</f>
        <v>10</v>
      </c>
      <c r="E4" s="114">
        <f>SUM(C4:D4)</f>
        <v>88.35</v>
      </c>
      <c r="F4" s="1"/>
      <c r="G4" s="1"/>
      <c r="H4" s="1"/>
      <c r="I4" s="1"/>
      <c r="J4" s="1"/>
      <c r="K4" s="1"/>
      <c r="L4" s="1"/>
      <c r="M4" s="1"/>
      <c r="N4" s="1"/>
      <c r="O4" s="1"/>
      <c r="P4" s="1"/>
      <c r="Q4" s="1"/>
      <c r="R4" s="1"/>
      <c r="S4" s="1"/>
      <c r="T4" s="1"/>
      <c r="U4" s="1"/>
      <c r="V4" s="1"/>
      <c r="W4" s="1"/>
      <c r="X4" s="1"/>
      <c r="Y4" s="1"/>
      <c r="Z4" s="1"/>
    </row>
    <row r="5" hidden="1">
      <c r="A5" s="1"/>
      <c r="B5" s="3"/>
      <c r="C5" s="4"/>
      <c r="D5" s="4"/>
      <c r="E5" s="4"/>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1"/>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2024-01-12T09:51:06Z</dcterms:created>
  <dc:creator>DC</dc:creator>
</cp:coreProperties>
</file>